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20" windowHeight="11040" tabRatio="1000" firstSheet="1" activeTab="7"/>
  </bookViews>
  <sheets>
    <sheet name="3" sheetId="4" state="hidden" r:id="rId1"/>
    <sheet name="Example 1" sheetId="26" r:id="rId2"/>
    <sheet name="Example 2 prepaym" sheetId="27" r:id="rId3"/>
    <sheet name="Example 3 modif check" sheetId="29" r:id="rId4"/>
    <sheet name="Example 3 modif old" sheetId="1" r:id="rId5"/>
    <sheet name="Example 4 modif check" sheetId="30" r:id="rId6"/>
    <sheet name="Example 4 modif new" sheetId="21" r:id="rId7"/>
    <sheet name="Example 5 non market" sheetId="22" r:id="rId8"/>
    <sheet name="4" sheetId="2" state="hidden" r:id="rId9"/>
    <sheet name="5" sheetId="5" state="hidden" r:id="rId10"/>
    <sheet name="6" sheetId="8" state="hidden" r:id="rId11"/>
    <sheet name="7_1 initial" sheetId="10" state="hidden" r:id="rId12"/>
    <sheet name="9_1 irc" sheetId="12" state="hidden" r:id="rId13"/>
    <sheet name="10 modif" sheetId="13" state="hidden" r:id="rId14"/>
    <sheet name="8_1 imp" sheetId="11" state="hidden" r:id="rId15"/>
  </sheets>
  <externalReferences>
    <externalReference r:id="rId16"/>
    <externalReference r:id="rId17"/>
  </externalReferences>
  <calcPr calcId="125725"/>
</workbook>
</file>

<file path=xl/calcChain.xml><?xml version="1.0" encoding="utf-8"?>
<calcChain xmlns="http://schemas.openxmlformats.org/spreadsheetml/2006/main">
  <c r="D166" i="21"/>
  <c r="N166"/>
  <c r="N165"/>
  <c r="N164"/>
  <c r="N163"/>
  <c r="N162"/>
  <c r="N161"/>
  <c r="N160"/>
  <c r="N159"/>
  <c r="N158"/>
  <c r="N157"/>
  <c r="N156"/>
  <c r="N155"/>
  <c r="N154"/>
  <c r="N153"/>
  <c r="N152"/>
  <c r="N151"/>
  <c r="N150"/>
  <c r="N149"/>
  <c r="N148"/>
  <c r="N147"/>
  <c r="N146"/>
  <c r="N145"/>
  <c r="N144"/>
  <c r="N143"/>
  <c r="N142"/>
  <c r="N141"/>
  <c r="N140"/>
  <c r="N139"/>
  <c r="N138"/>
  <c r="N137"/>
  <c r="N136"/>
  <c r="N135"/>
  <c r="N134"/>
  <c r="N133"/>
  <c r="N132"/>
  <c r="N131"/>
  <c r="N130"/>
  <c r="N129"/>
  <c r="N128"/>
  <c r="N127"/>
  <c r="N126"/>
  <c r="N125"/>
  <c r="N124"/>
  <c r="N123"/>
  <c r="N122"/>
  <c r="N121"/>
  <c r="N120"/>
  <c r="N119"/>
  <c r="N118"/>
  <c r="N117"/>
  <c r="N116"/>
  <c r="N115"/>
  <c r="N114"/>
  <c r="N113"/>
  <c r="N112"/>
  <c r="N111"/>
  <c r="N110"/>
  <c r="N109"/>
  <c r="N108"/>
  <c r="N107"/>
  <c r="N106"/>
  <c r="N105"/>
  <c r="N104"/>
  <c r="N103"/>
  <c r="N102"/>
  <c r="N101"/>
  <c r="N100"/>
  <c r="N99"/>
  <c r="N98"/>
  <c r="N97"/>
  <c r="N96"/>
  <c r="N95"/>
  <c r="N94"/>
  <c r="N93"/>
  <c r="N92"/>
  <c r="N91"/>
  <c r="N90"/>
  <c r="N89"/>
  <c r="N88"/>
  <c r="N87"/>
  <c r="N86"/>
  <c r="N85"/>
  <c r="N84"/>
  <c r="N83"/>
  <c r="N82"/>
  <c r="N81"/>
  <c r="N80"/>
  <c r="N79"/>
  <c r="N78"/>
  <c r="N77"/>
  <c r="N76"/>
  <c r="N75"/>
  <c r="N74"/>
  <c r="N73"/>
  <c r="N72"/>
  <c r="N71"/>
  <c r="N70"/>
  <c r="N69"/>
  <c r="N68"/>
  <c r="N67"/>
  <c r="N66"/>
  <c r="N65"/>
  <c r="N64"/>
  <c r="N63"/>
  <c r="N62"/>
  <c r="N61"/>
  <c r="N60"/>
  <c r="N59"/>
  <c r="N58"/>
  <c r="N57"/>
  <c r="N56"/>
  <c r="N55"/>
  <c r="N54"/>
  <c r="N53"/>
  <c r="N52"/>
  <c r="N51"/>
  <c r="N50"/>
  <c r="N49"/>
  <c r="N48"/>
  <c r="N47"/>
  <c r="N46"/>
  <c r="N45"/>
  <c r="N44"/>
  <c r="N43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D163" i="26"/>
  <c r="N163"/>
  <c r="D167" i="29"/>
  <c r="D168" s="1"/>
  <c r="D166" i="27"/>
  <c r="N167" i="29"/>
  <c r="N166"/>
  <c r="N165"/>
  <c r="N164"/>
  <c r="N163"/>
  <c r="N162"/>
  <c r="N161"/>
  <c r="N160"/>
  <c r="N159"/>
  <c r="N158"/>
  <c r="N157"/>
  <c r="N156"/>
  <c r="N155"/>
  <c r="N154"/>
  <c r="N153"/>
  <c r="N152"/>
  <c r="N151"/>
  <c r="N150"/>
  <c r="N149"/>
  <c r="N148"/>
  <c r="N147"/>
  <c r="N146"/>
  <c r="N145"/>
  <c r="N144"/>
  <c r="N143"/>
  <c r="N142"/>
  <c r="N141"/>
  <c r="N140"/>
  <c r="N139"/>
  <c r="N138"/>
  <c r="N137"/>
  <c r="N136"/>
  <c r="N135"/>
  <c r="N134"/>
  <c r="N133"/>
  <c r="N132"/>
  <c r="N131"/>
  <c r="N130"/>
  <c r="N129"/>
  <c r="N128"/>
  <c r="N127"/>
  <c r="N126"/>
  <c r="N125"/>
  <c r="N124"/>
  <c r="N123"/>
  <c r="N122"/>
  <c r="N121"/>
  <c r="N120"/>
  <c r="N119"/>
  <c r="N118"/>
  <c r="N117"/>
  <c r="N116"/>
  <c r="N115"/>
  <c r="N114"/>
  <c r="N113"/>
  <c r="N112"/>
  <c r="N111"/>
  <c r="N110"/>
  <c r="N109"/>
  <c r="N108"/>
  <c r="N107"/>
  <c r="N106"/>
  <c r="N105"/>
  <c r="N104"/>
  <c r="N103"/>
  <c r="N102"/>
  <c r="N101"/>
  <c r="N100"/>
  <c r="N99"/>
  <c r="N98"/>
  <c r="N97"/>
  <c r="N96"/>
  <c r="N95"/>
  <c r="N94"/>
  <c r="N93"/>
  <c r="N92"/>
  <c r="N91"/>
  <c r="N90"/>
  <c r="N89"/>
  <c r="N88"/>
  <c r="N87"/>
  <c r="N86"/>
  <c r="N85"/>
  <c r="N84"/>
  <c r="N83"/>
  <c r="N82"/>
  <c r="N81"/>
  <c r="N80"/>
  <c r="N79"/>
  <c r="N78"/>
  <c r="N77"/>
  <c r="N76"/>
  <c r="N75"/>
  <c r="N74"/>
  <c r="N73"/>
  <c r="N72"/>
  <c r="N71"/>
  <c r="N70"/>
  <c r="N69"/>
  <c r="N68"/>
  <c r="N67"/>
  <c r="N66"/>
  <c r="N65"/>
  <c r="N64"/>
  <c r="N63"/>
  <c r="N62"/>
  <c r="N61"/>
  <c r="N60"/>
  <c r="N59"/>
  <c r="N58"/>
  <c r="N57"/>
  <c r="N56"/>
  <c r="N55"/>
  <c r="N54"/>
  <c r="N53"/>
  <c r="N52"/>
  <c r="N51"/>
  <c r="N50"/>
  <c r="N49"/>
  <c r="N48"/>
  <c r="N47"/>
  <c r="N46"/>
  <c r="N45"/>
  <c r="N44"/>
  <c r="N43"/>
  <c r="N42"/>
  <c r="N41"/>
  <c r="N40"/>
  <c r="N39"/>
  <c r="N38"/>
  <c r="N37"/>
  <c r="N36"/>
  <c r="N35"/>
  <c r="N34"/>
  <c r="N33"/>
  <c r="N32"/>
  <c r="N31"/>
  <c r="N30"/>
  <c r="N29"/>
  <c r="N28"/>
  <c r="N27"/>
  <c r="N166" i="27"/>
  <c r="N165"/>
  <c r="N164"/>
  <c r="N163"/>
  <c r="N162"/>
  <c r="N161"/>
  <c r="N160"/>
  <c r="N159"/>
  <c r="N158"/>
  <c r="N157"/>
  <c r="N156"/>
  <c r="N155"/>
  <c r="N154"/>
  <c r="N153"/>
  <c r="N152"/>
  <c r="N151"/>
  <c r="N150"/>
  <c r="N149"/>
  <c r="N148"/>
  <c r="N147"/>
  <c r="N146"/>
  <c r="N145"/>
  <c r="N144"/>
  <c r="N143"/>
  <c r="N142"/>
  <c r="N141"/>
  <c r="N140"/>
  <c r="N139"/>
  <c r="N138"/>
  <c r="N137"/>
  <c r="N136"/>
  <c r="N135"/>
  <c r="N134"/>
  <c r="N133"/>
  <c r="N132"/>
  <c r="N131"/>
  <c r="N130"/>
  <c r="N129"/>
  <c r="N128"/>
  <c r="N127"/>
  <c r="N126"/>
  <c r="N125"/>
  <c r="N124"/>
  <c r="N123"/>
  <c r="N122"/>
  <c r="N121"/>
  <c r="N120"/>
  <c r="N119"/>
  <c r="N118"/>
  <c r="N117"/>
  <c r="N116"/>
  <c r="N115"/>
  <c r="N114"/>
  <c r="N113"/>
  <c r="N112"/>
  <c r="N111"/>
  <c r="N110"/>
  <c r="N109"/>
  <c r="N108"/>
  <c r="N107"/>
  <c r="N106"/>
  <c r="N105"/>
  <c r="N104"/>
  <c r="N103"/>
  <c r="N102"/>
  <c r="N101"/>
  <c r="N100"/>
  <c r="N99"/>
  <c r="N98"/>
  <c r="N97"/>
  <c r="N96"/>
  <c r="N95"/>
  <c r="N94"/>
  <c r="N93"/>
  <c r="N92"/>
  <c r="N91"/>
  <c r="N90"/>
  <c r="N89"/>
  <c r="N88"/>
  <c r="N87"/>
  <c r="N86"/>
  <c r="N85"/>
  <c r="N84"/>
  <c r="N83"/>
  <c r="N82"/>
  <c r="N81"/>
  <c r="N80"/>
  <c r="N79"/>
  <c r="N78"/>
  <c r="N77"/>
  <c r="N76"/>
  <c r="N75"/>
  <c r="N74"/>
  <c r="N73"/>
  <c r="N72"/>
  <c r="N71"/>
  <c r="N70"/>
  <c r="N69"/>
  <c r="N68"/>
  <c r="N67"/>
  <c r="N66"/>
  <c r="N65"/>
  <c r="N64"/>
  <c r="N63"/>
  <c r="N62"/>
  <c r="N61"/>
  <c r="N60"/>
  <c r="N59"/>
  <c r="N58"/>
  <c r="N57"/>
  <c r="N56"/>
  <c r="N55"/>
  <c r="N54"/>
  <c r="N53"/>
  <c r="N52"/>
  <c r="N51"/>
  <c r="N50"/>
  <c r="N49"/>
  <c r="N48"/>
  <c r="N47"/>
  <c r="N46"/>
  <c r="N45"/>
  <c r="N44"/>
  <c r="N43"/>
  <c r="N42"/>
  <c r="N41"/>
  <c r="N40"/>
  <c r="N39"/>
  <c r="N38"/>
  <c r="N37"/>
  <c r="N36"/>
  <c r="N35"/>
  <c r="N34"/>
  <c r="N33"/>
  <c r="N32"/>
  <c r="N31"/>
  <c r="N30"/>
  <c r="N162" i="26"/>
  <c r="N161"/>
  <c r="N160"/>
  <c r="N159"/>
  <c r="N158"/>
  <c r="N157"/>
  <c r="N156"/>
  <c r="N155"/>
  <c r="N154"/>
  <c r="N153"/>
  <c r="N152"/>
  <c r="N151"/>
  <c r="N150"/>
  <c r="N149"/>
  <c r="N148"/>
  <c r="N147"/>
  <c r="N146"/>
  <c r="N145"/>
  <c r="N144"/>
  <c r="N143"/>
  <c r="N142"/>
  <c r="N141"/>
  <c r="N140"/>
  <c r="N139"/>
  <c r="N138"/>
  <c r="N137"/>
  <c r="N136"/>
  <c r="N135"/>
  <c r="N134"/>
  <c r="N133"/>
  <c r="N132"/>
  <c r="N131"/>
  <c r="N130"/>
  <c r="N129"/>
  <c r="N128"/>
  <c r="N127"/>
  <c r="N126"/>
  <c r="N125"/>
  <c r="N124"/>
  <c r="N123"/>
  <c r="N122"/>
  <c r="N121"/>
  <c r="N120"/>
  <c r="N119"/>
  <c r="N118"/>
  <c r="N117"/>
  <c r="N116"/>
  <c r="N115"/>
  <c r="N114"/>
  <c r="N113"/>
  <c r="N112"/>
  <c r="N111"/>
  <c r="N110"/>
  <c r="N109"/>
  <c r="N108"/>
  <c r="N107"/>
  <c r="N106"/>
  <c r="N105"/>
  <c r="N104"/>
  <c r="N103"/>
  <c r="N102"/>
  <c r="N101"/>
  <c r="N100"/>
  <c r="N99"/>
  <c r="N98"/>
  <c r="N97"/>
  <c r="N96"/>
  <c r="N95"/>
  <c r="N94"/>
  <c r="N93"/>
  <c r="N92"/>
  <c r="N91"/>
  <c r="N90"/>
  <c r="N89"/>
  <c r="N88"/>
  <c r="N87"/>
  <c r="N86"/>
  <c r="N85"/>
  <c r="N84"/>
  <c r="N83"/>
  <c r="N82"/>
  <c r="N81"/>
  <c r="N80"/>
  <c r="N79"/>
  <c r="N78"/>
  <c r="N77"/>
  <c r="N76"/>
  <c r="N75"/>
  <c r="N74"/>
  <c r="N73"/>
  <c r="N72"/>
  <c r="N71"/>
  <c r="N70"/>
  <c r="N69"/>
  <c r="N68"/>
  <c r="N67"/>
  <c r="N66"/>
  <c r="N65"/>
  <c r="N64"/>
  <c r="N63"/>
  <c r="N62"/>
  <c r="N61"/>
  <c r="N60"/>
  <c r="N59"/>
  <c r="N58"/>
  <c r="N57"/>
  <c r="N56"/>
  <c r="N55"/>
  <c r="N54"/>
  <c r="N53"/>
  <c r="N52"/>
  <c r="N51"/>
  <c r="N50"/>
  <c r="N49"/>
  <c r="N48"/>
  <c r="N47"/>
  <c r="N46"/>
  <c r="N45"/>
  <c r="N44"/>
  <c r="N43"/>
  <c r="N42"/>
  <c r="N41"/>
  <c r="N40"/>
  <c r="N39"/>
  <c r="N38"/>
  <c r="N37"/>
  <c r="N36"/>
  <c r="N35"/>
  <c r="N34"/>
  <c r="N33"/>
  <c r="N32"/>
  <c r="N31"/>
  <c r="N30"/>
  <c r="N29"/>
  <c r="N28"/>
  <c r="N27"/>
  <c r="AA21" i="30"/>
  <c r="AA20"/>
  <c r="G175"/>
  <c r="G174"/>
  <c r="G173"/>
  <c r="K170"/>
  <c r="P168"/>
  <c r="O168"/>
  <c r="M168"/>
  <c r="C168"/>
  <c r="X167"/>
  <c r="L167"/>
  <c r="Z166"/>
  <c r="U166"/>
  <c r="T166"/>
  <c r="L166"/>
  <c r="B166"/>
  <c r="X165"/>
  <c r="L165"/>
  <c r="Z164"/>
  <c r="U164"/>
  <c r="T164"/>
  <c r="L164"/>
  <c r="B164"/>
  <c r="X163"/>
  <c r="L163"/>
  <c r="Z162"/>
  <c r="U162"/>
  <c r="T162"/>
  <c r="L162"/>
  <c r="B162"/>
  <c r="L161"/>
  <c r="Z160"/>
  <c r="L160"/>
  <c r="B160"/>
  <c r="L159"/>
  <c r="Z158"/>
  <c r="L158"/>
  <c r="B158"/>
  <c r="L157"/>
  <c r="Z156"/>
  <c r="L156"/>
  <c r="B156"/>
  <c r="L155"/>
  <c r="Z154"/>
  <c r="L154"/>
  <c r="B154"/>
  <c r="L153"/>
  <c r="Z152"/>
  <c r="L152"/>
  <c r="B152"/>
  <c r="L151"/>
  <c r="Z150"/>
  <c r="L150"/>
  <c r="B150"/>
  <c r="L149"/>
  <c r="Z148"/>
  <c r="L148"/>
  <c r="B148"/>
  <c r="L147"/>
  <c r="Z146"/>
  <c r="L146"/>
  <c r="B146"/>
  <c r="L145"/>
  <c r="Z144"/>
  <c r="L144"/>
  <c r="B144"/>
  <c r="L143"/>
  <c r="Z142"/>
  <c r="L142"/>
  <c r="B142"/>
  <c r="L141"/>
  <c r="Z140"/>
  <c r="L140"/>
  <c r="B140"/>
  <c r="L139"/>
  <c r="Z138"/>
  <c r="L138"/>
  <c r="B138"/>
  <c r="L137"/>
  <c r="Z136"/>
  <c r="L136"/>
  <c r="B136"/>
  <c r="L135"/>
  <c r="Z134"/>
  <c r="L134"/>
  <c r="B134"/>
  <c r="L133"/>
  <c r="Z132"/>
  <c r="L132"/>
  <c r="B132"/>
  <c r="L131"/>
  <c r="Z130"/>
  <c r="L130"/>
  <c r="B130"/>
  <c r="L129"/>
  <c r="Z128"/>
  <c r="L128"/>
  <c r="B128"/>
  <c r="L127"/>
  <c r="Z126"/>
  <c r="L126"/>
  <c r="B126"/>
  <c r="L125"/>
  <c r="Z124"/>
  <c r="L124"/>
  <c r="B124"/>
  <c r="L123"/>
  <c r="Z122"/>
  <c r="L122"/>
  <c r="B122"/>
  <c r="L121"/>
  <c r="Z120"/>
  <c r="L120"/>
  <c r="B120"/>
  <c r="L119"/>
  <c r="Z118"/>
  <c r="L118"/>
  <c r="B118"/>
  <c r="L117"/>
  <c r="Z116"/>
  <c r="L116"/>
  <c r="B116"/>
  <c r="L115"/>
  <c r="Z114"/>
  <c r="L114"/>
  <c r="B114"/>
  <c r="L113"/>
  <c r="Z112"/>
  <c r="L112"/>
  <c r="B112"/>
  <c r="L111"/>
  <c r="Z110"/>
  <c r="L110"/>
  <c r="B110"/>
  <c r="L109"/>
  <c r="Z108"/>
  <c r="L108"/>
  <c r="B108"/>
  <c r="L107"/>
  <c r="Z106"/>
  <c r="L106"/>
  <c r="B106"/>
  <c r="L105"/>
  <c r="Z104"/>
  <c r="L104"/>
  <c r="B104"/>
  <c r="L103"/>
  <c r="Z102"/>
  <c r="L102"/>
  <c r="B102"/>
  <c r="L101"/>
  <c r="Z100"/>
  <c r="L100"/>
  <c r="B100"/>
  <c r="L99"/>
  <c r="Z98"/>
  <c r="L98"/>
  <c r="B98"/>
  <c r="L97"/>
  <c r="Z96"/>
  <c r="L96"/>
  <c r="B96"/>
  <c r="L95"/>
  <c r="Z94"/>
  <c r="L94"/>
  <c r="B94"/>
  <c r="L93"/>
  <c r="Z92"/>
  <c r="L92"/>
  <c r="B92"/>
  <c r="L91"/>
  <c r="Z90"/>
  <c r="L90"/>
  <c r="B90"/>
  <c r="L89"/>
  <c r="Z88"/>
  <c r="L88"/>
  <c r="B88"/>
  <c r="L87"/>
  <c r="Z86"/>
  <c r="L86"/>
  <c r="B86"/>
  <c r="L85"/>
  <c r="Z84"/>
  <c r="L84"/>
  <c r="B84"/>
  <c r="L83"/>
  <c r="Z82"/>
  <c r="L82"/>
  <c r="B82"/>
  <c r="L81"/>
  <c r="Z80"/>
  <c r="L80"/>
  <c r="B80"/>
  <c r="L79"/>
  <c r="Z78"/>
  <c r="L78"/>
  <c r="B78"/>
  <c r="L77"/>
  <c r="Z76"/>
  <c r="L76"/>
  <c r="B76"/>
  <c r="L75"/>
  <c r="Z74"/>
  <c r="L74"/>
  <c r="B74"/>
  <c r="L73"/>
  <c r="Z72"/>
  <c r="L72"/>
  <c r="B72"/>
  <c r="L71"/>
  <c r="Z70"/>
  <c r="L70"/>
  <c r="B70"/>
  <c r="L69"/>
  <c r="Z68"/>
  <c r="L68"/>
  <c r="B68"/>
  <c r="L67"/>
  <c r="Z66"/>
  <c r="L66"/>
  <c r="B66"/>
  <c r="L65"/>
  <c r="Z64"/>
  <c r="L64"/>
  <c r="B64"/>
  <c r="L63"/>
  <c r="Z62"/>
  <c r="L62"/>
  <c r="B62"/>
  <c r="L61"/>
  <c r="Z60"/>
  <c r="L60"/>
  <c r="B60"/>
  <c r="L59"/>
  <c r="Z58"/>
  <c r="L58"/>
  <c r="B58"/>
  <c r="L57"/>
  <c r="Z56"/>
  <c r="L56"/>
  <c r="B56"/>
  <c r="L55"/>
  <c r="Z54"/>
  <c r="L54"/>
  <c r="B54"/>
  <c r="L53"/>
  <c r="Z52"/>
  <c r="L52"/>
  <c r="B52"/>
  <c r="L51"/>
  <c r="Z50"/>
  <c r="L50"/>
  <c r="B50"/>
  <c r="L49"/>
  <c r="Z48"/>
  <c r="L48"/>
  <c r="B48"/>
  <c r="L47"/>
  <c r="Z46"/>
  <c r="L46"/>
  <c r="B46"/>
  <c r="L45"/>
  <c r="Z44"/>
  <c r="L44"/>
  <c r="B44"/>
  <c r="L43"/>
  <c r="Z42"/>
  <c r="L42"/>
  <c r="B42"/>
  <c r="L41"/>
  <c r="Z40"/>
  <c r="L40"/>
  <c r="B40"/>
  <c r="L39"/>
  <c r="Z38"/>
  <c r="L38"/>
  <c r="B38"/>
  <c r="L37"/>
  <c r="Z36"/>
  <c r="L36"/>
  <c r="B36"/>
  <c r="L35"/>
  <c r="Z34"/>
  <c r="L34"/>
  <c r="B34"/>
  <c r="L33"/>
  <c r="Z32"/>
  <c r="L32"/>
  <c r="B32"/>
  <c r="X31"/>
  <c r="L31"/>
  <c r="Z30"/>
  <c r="U30"/>
  <c r="T30"/>
  <c r="L30"/>
  <c r="B30"/>
  <c r="X29"/>
  <c r="L29"/>
  <c r="Z28"/>
  <c r="U28"/>
  <c r="T28"/>
  <c r="L28"/>
  <c r="B28"/>
  <c r="X27"/>
  <c r="L27"/>
  <c r="Z26"/>
  <c r="U26"/>
  <c r="T26"/>
  <c r="L26"/>
  <c r="B26"/>
  <c r="X25"/>
  <c r="L25"/>
  <c r="Z24"/>
  <c r="U24"/>
  <c r="T24"/>
  <c r="L24"/>
  <c r="B24"/>
  <c r="X23"/>
  <c r="L23"/>
  <c r="U22"/>
  <c r="T22"/>
  <c r="Q22"/>
  <c r="L22"/>
  <c r="B22"/>
  <c r="N21"/>
  <c r="J21" s="1"/>
  <c r="I21"/>
  <c r="D23" s="1"/>
  <c r="B21"/>
  <c r="O170" i="1"/>
  <c r="H20"/>
  <c r="M21" s="1"/>
  <c r="C168" i="29"/>
  <c r="D168" i="1"/>
  <c r="C168"/>
  <c r="B168"/>
  <c r="H21" i="29"/>
  <c r="N38" i="22"/>
  <c r="I13"/>
  <c r="N14" s="1"/>
  <c r="L13"/>
  <c r="F13"/>
  <c r="AC14"/>
  <c r="H46"/>
  <c r="H45"/>
  <c r="H44"/>
  <c r="Q39"/>
  <c r="D39"/>
  <c r="K45" s="1"/>
  <c r="M38"/>
  <c r="M37"/>
  <c r="M36"/>
  <c r="C36"/>
  <c r="M35"/>
  <c r="M34"/>
  <c r="C34"/>
  <c r="M33"/>
  <c r="M32"/>
  <c r="C32"/>
  <c r="M31"/>
  <c r="M30"/>
  <c r="C30"/>
  <c r="M29"/>
  <c r="M28"/>
  <c r="C28"/>
  <c r="M27"/>
  <c r="M26"/>
  <c r="C26"/>
  <c r="M25"/>
  <c r="M24"/>
  <c r="C24"/>
  <c r="M23"/>
  <c r="M22"/>
  <c r="C22"/>
  <c r="M21"/>
  <c r="M20"/>
  <c r="C20"/>
  <c r="M19"/>
  <c r="M18"/>
  <c r="C18"/>
  <c r="M17"/>
  <c r="M16"/>
  <c r="C16"/>
  <c r="M15"/>
  <c r="M14"/>
  <c r="C14"/>
  <c r="T13"/>
  <c r="J13"/>
  <c r="O14" s="1"/>
  <c r="B20" i="21"/>
  <c r="G174"/>
  <c r="G173"/>
  <c r="G172"/>
  <c r="P167"/>
  <c r="C167"/>
  <c r="L166"/>
  <c r="L165"/>
  <c r="B165"/>
  <c r="L164"/>
  <c r="L163"/>
  <c r="B163"/>
  <c r="L162"/>
  <c r="L161"/>
  <c r="B161"/>
  <c r="L160"/>
  <c r="L159"/>
  <c r="B159"/>
  <c r="L158"/>
  <c r="L157"/>
  <c r="B157"/>
  <c r="L156"/>
  <c r="L155"/>
  <c r="B155"/>
  <c r="L154"/>
  <c r="L153"/>
  <c r="B153"/>
  <c r="L152"/>
  <c r="L151"/>
  <c r="B151"/>
  <c r="L150"/>
  <c r="L149"/>
  <c r="B149"/>
  <c r="L148"/>
  <c r="L147"/>
  <c r="B147"/>
  <c r="L146"/>
  <c r="L145"/>
  <c r="B145"/>
  <c r="L144"/>
  <c r="L143"/>
  <c r="B143"/>
  <c r="L142"/>
  <c r="L141"/>
  <c r="B141"/>
  <c r="L140"/>
  <c r="L139"/>
  <c r="B139"/>
  <c r="L138"/>
  <c r="L137"/>
  <c r="B137"/>
  <c r="L136"/>
  <c r="L135"/>
  <c r="B135"/>
  <c r="L134"/>
  <c r="L133"/>
  <c r="B133"/>
  <c r="L132"/>
  <c r="L131"/>
  <c r="B131"/>
  <c r="L130"/>
  <c r="L129"/>
  <c r="B129"/>
  <c r="L128"/>
  <c r="L127"/>
  <c r="B127"/>
  <c r="L126"/>
  <c r="L125"/>
  <c r="B125"/>
  <c r="L124"/>
  <c r="L123"/>
  <c r="B123"/>
  <c r="L122"/>
  <c r="L121"/>
  <c r="B121"/>
  <c r="L120"/>
  <c r="L119"/>
  <c r="B119"/>
  <c r="L118"/>
  <c r="L117"/>
  <c r="B117"/>
  <c r="L116"/>
  <c r="L115"/>
  <c r="B115"/>
  <c r="L114"/>
  <c r="L113"/>
  <c r="B113"/>
  <c r="L112"/>
  <c r="L111"/>
  <c r="B111"/>
  <c r="L110"/>
  <c r="L109"/>
  <c r="B109"/>
  <c r="L108"/>
  <c r="L107"/>
  <c r="B107"/>
  <c r="L106"/>
  <c r="L105"/>
  <c r="B105"/>
  <c r="L104"/>
  <c r="L103"/>
  <c r="B103"/>
  <c r="L102"/>
  <c r="L101"/>
  <c r="B101"/>
  <c r="L100"/>
  <c r="L99"/>
  <c r="B99"/>
  <c r="L98"/>
  <c r="L97"/>
  <c r="B97"/>
  <c r="L96"/>
  <c r="L95"/>
  <c r="B95"/>
  <c r="L94"/>
  <c r="L93"/>
  <c r="B93"/>
  <c r="L92"/>
  <c r="L91"/>
  <c r="B91"/>
  <c r="L90"/>
  <c r="L89"/>
  <c r="B89"/>
  <c r="L88"/>
  <c r="L87"/>
  <c r="B87"/>
  <c r="L86"/>
  <c r="L85"/>
  <c r="B85"/>
  <c r="L84"/>
  <c r="L83"/>
  <c r="B83"/>
  <c r="L82"/>
  <c r="L81"/>
  <c r="B81"/>
  <c r="L80"/>
  <c r="L79"/>
  <c r="B79"/>
  <c r="L78"/>
  <c r="L77"/>
  <c r="B77"/>
  <c r="L76"/>
  <c r="L75"/>
  <c r="B75"/>
  <c r="L74"/>
  <c r="L73"/>
  <c r="B73"/>
  <c r="L72"/>
  <c r="L71"/>
  <c r="B71"/>
  <c r="L70"/>
  <c r="L69"/>
  <c r="B69"/>
  <c r="L68"/>
  <c r="L67"/>
  <c r="B67"/>
  <c r="L66"/>
  <c r="L65"/>
  <c r="B65"/>
  <c r="L64"/>
  <c r="L63"/>
  <c r="B63"/>
  <c r="L62"/>
  <c r="L61"/>
  <c r="B61"/>
  <c r="L60"/>
  <c r="L59"/>
  <c r="B59"/>
  <c r="L58"/>
  <c r="L57"/>
  <c r="B57"/>
  <c r="L56"/>
  <c r="L55"/>
  <c r="B55"/>
  <c r="L54"/>
  <c r="L53"/>
  <c r="B53"/>
  <c r="L52"/>
  <c r="L51"/>
  <c r="B51"/>
  <c r="L50"/>
  <c r="L49"/>
  <c r="B49"/>
  <c r="L48"/>
  <c r="L47"/>
  <c r="B47"/>
  <c r="L46"/>
  <c r="L45"/>
  <c r="B45"/>
  <c r="L44"/>
  <c r="L43"/>
  <c r="B43"/>
  <c r="L42"/>
  <c r="L41"/>
  <c r="B41"/>
  <c r="L40"/>
  <c r="L39"/>
  <c r="B39"/>
  <c r="L38"/>
  <c r="L37"/>
  <c r="B37"/>
  <c r="L36"/>
  <c r="L35"/>
  <c r="B35"/>
  <c r="L34"/>
  <c r="L33"/>
  <c r="B33"/>
  <c r="L32"/>
  <c r="L31"/>
  <c r="B31"/>
  <c r="L30"/>
  <c r="L29"/>
  <c r="B29"/>
  <c r="L28"/>
  <c r="L27"/>
  <c r="B27"/>
  <c r="L26"/>
  <c r="L25"/>
  <c r="B25"/>
  <c r="L24"/>
  <c r="L23"/>
  <c r="B23"/>
  <c r="L22"/>
  <c r="V21"/>
  <c r="S21"/>
  <c r="L21"/>
  <c r="I21"/>
  <c r="B21"/>
  <c r="N20"/>
  <c r="I20"/>
  <c r="N21" s="1"/>
  <c r="I21" i="1"/>
  <c r="N22" s="1"/>
  <c r="S22" s="1"/>
  <c r="G175"/>
  <c r="G174"/>
  <c r="G173"/>
  <c r="P168"/>
  <c r="L167"/>
  <c r="L166"/>
  <c r="B166"/>
  <c r="L165"/>
  <c r="L164"/>
  <c r="B164"/>
  <c r="L163"/>
  <c r="L162"/>
  <c r="B162"/>
  <c r="L161"/>
  <c r="L160"/>
  <c r="B160"/>
  <c r="L159"/>
  <c r="L158"/>
  <c r="B158"/>
  <c r="L157"/>
  <c r="L156"/>
  <c r="B156"/>
  <c r="L155"/>
  <c r="L154"/>
  <c r="B154"/>
  <c r="L153"/>
  <c r="L152"/>
  <c r="B152"/>
  <c r="L151"/>
  <c r="L150"/>
  <c r="B150"/>
  <c r="L149"/>
  <c r="L148"/>
  <c r="B148"/>
  <c r="L147"/>
  <c r="L146"/>
  <c r="B146"/>
  <c r="L145"/>
  <c r="L144"/>
  <c r="B144"/>
  <c r="L143"/>
  <c r="L142"/>
  <c r="B142"/>
  <c r="L141"/>
  <c r="L140"/>
  <c r="B140"/>
  <c r="L139"/>
  <c r="L138"/>
  <c r="B138"/>
  <c r="L137"/>
  <c r="L136"/>
  <c r="B136"/>
  <c r="L135"/>
  <c r="L134"/>
  <c r="B134"/>
  <c r="L133"/>
  <c r="L132"/>
  <c r="B132"/>
  <c r="L131"/>
  <c r="L130"/>
  <c r="B130"/>
  <c r="L129"/>
  <c r="L128"/>
  <c r="B128"/>
  <c r="L127"/>
  <c r="L126"/>
  <c r="B126"/>
  <c r="L125"/>
  <c r="L124"/>
  <c r="B124"/>
  <c r="L123"/>
  <c r="L122"/>
  <c r="B122"/>
  <c r="L121"/>
  <c r="L120"/>
  <c r="B120"/>
  <c r="L119"/>
  <c r="L118"/>
  <c r="B118"/>
  <c r="L117"/>
  <c r="L116"/>
  <c r="B116"/>
  <c r="L115"/>
  <c r="L114"/>
  <c r="B114"/>
  <c r="L113"/>
  <c r="L112"/>
  <c r="B112"/>
  <c r="L111"/>
  <c r="L110"/>
  <c r="B110"/>
  <c r="L109"/>
  <c r="L108"/>
  <c r="B108"/>
  <c r="L107"/>
  <c r="L106"/>
  <c r="B106"/>
  <c r="L105"/>
  <c r="L104"/>
  <c r="B104"/>
  <c r="L103"/>
  <c r="L102"/>
  <c r="B102"/>
  <c r="L101"/>
  <c r="L100"/>
  <c r="B100"/>
  <c r="L99"/>
  <c r="L98"/>
  <c r="B98"/>
  <c r="L97"/>
  <c r="L96"/>
  <c r="B96"/>
  <c r="L95"/>
  <c r="L94"/>
  <c r="B94"/>
  <c r="L93"/>
  <c r="L92"/>
  <c r="B92"/>
  <c r="L91"/>
  <c r="L90"/>
  <c r="B90"/>
  <c r="L89"/>
  <c r="L88"/>
  <c r="B88"/>
  <c r="L87"/>
  <c r="L86"/>
  <c r="B86"/>
  <c r="L85"/>
  <c r="L84"/>
  <c r="B84"/>
  <c r="L83"/>
  <c r="L82"/>
  <c r="B82"/>
  <c r="L81"/>
  <c r="L80"/>
  <c r="B80"/>
  <c r="L79"/>
  <c r="L78"/>
  <c r="B78"/>
  <c r="L77"/>
  <c r="L76"/>
  <c r="B76"/>
  <c r="L75"/>
  <c r="L74"/>
  <c r="B74"/>
  <c r="L73"/>
  <c r="L72"/>
  <c r="B72"/>
  <c r="L71"/>
  <c r="L70"/>
  <c r="B70"/>
  <c r="L69"/>
  <c r="L68"/>
  <c r="B68"/>
  <c r="L67"/>
  <c r="L66"/>
  <c r="B66"/>
  <c r="L65"/>
  <c r="L64"/>
  <c r="B64"/>
  <c r="L63"/>
  <c r="L62"/>
  <c r="B62"/>
  <c r="L61"/>
  <c r="L60"/>
  <c r="B60"/>
  <c r="L59"/>
  <c r="L58"/>
  <c r="B58"/>
  <c r="L57"/>
  <c r="L56"/>
  <c r="B56"/>
  <c r="L55"/>
  <c r="L54"/>
  <c r="B54"/>
  <c r="L53"/>
  <c r="L52"/>
  <c r="B52"/>
  <c r="L51"/>
  <c r="L50"/>
  <c r="B50"/>
  <c r="L49"/>
  <c r="L48"/>
  <c r="B48"/>
  <c r="L47"/>
  <c r="L46"/>
  <c r="B46"/>
  <c r="L45"/>
  <c r="L44"/>
  <c r="B44"/>
  <c r="L43"/>
  <c r="L42"/>
  <c r="B42"/>
  <c r="L41"/>
  <c r="L40"/>
  <c r="B40"/>
  <c r="L39"/>
  <c r="L38"/>
  <c r="B38"/>
  <c r="L37"/>
  <c r="L36"/>
  <c r="B36"/>
  <c r="L35"/>
  <c r="L34"/>
  <c r="B34"/>
  <c r="L33"/>
  <c r="L32"/>
  <c r="B32"/>
  <c r="L31"/>
  <c r="L30"/>
  <c r="B30"/>
  <c r="L29"/>
  <c r="L28"/>
  <c r="B28"/>
  <c r="L27"/>
  <c r="L26"/>
  <c r="B26"/>
  <c r="L25"/>
  <c r="L24"/>
  <c r="B24"/>
  <c r="L23"/>
  <c r="L22"/>
  <c r="B22"/>
  <c r="B21"/>
  <c r="I21" i="29"/>
  <c r="N21"/>
  <c r="J21" s="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G175"/>
  <c r="G174"/>
  <c r="G173"/>
  <c r="P168"/>
  <c r="B166"/>
  <c r="B164"/>
  <c r="B162"/>
  <c r="B160"/>
  <c r="B158"/>
  <c r="B156"/>
  <c r="B154"/>
  <c r="B152"/>
  <c r="B150"/>
  <c r="B148"/>
  <c r="B146"/>
  <c r="B144"/>
  <c r="B142"/>
  <c r="B140"/>
  <c r="B138"/>
  <c r="B136"/>
  <c r="B134"/>
  <c r="B132"/>
  <c r="B130"/>
  <c r="B128"/>
  <c r="B126"/>
  <c r="B124"/>
  <c r="B122"/>
  <c r="B120"/>
  <c r="B118"/>
  <c r="B116"/>
  <c r="B114"/>
  <c r="B112"/>
  <c r="B110"/>
  <c r="B108"/>
  <c r="B106"/>
  <c r="B104"/>
  <c r="B102"/>
  <c r="B100"/>
  <c r="B98"/>
  <c r="B96"/>
  <c r="B94"/>
  <c r="B92"/>
  <c r="B90"/>
  <c r="B88"/>
  <c r="B86"/>
  <c r="B84"/>
  <c r="B82"/>
  <c r="B80"/>
  <c r="B78"/>
  <c r="B76"/>
  <c r="B74"/>
  <c r="B72"/>
  <c r="B70"/>
  <c r="B68"/>
  <c r="B66"/>
  <c r="B64"/>
  <c r="B62"/>
  <c r="B60"/>
  <c r="B58"/>
  <c r="B56"/>
  <c r="B54"/>
  <c r="B52"/>
  <c r="B50"/>
  <c r="B48"/>
  <c r="B46"/>
  <c r="B44"/>
  <c r="B42"/>
  <c r="B40"/>
  <c r="B38"/>
  <c r="B36"/>
  <c r="B34"/>
  <c r="B32"/>
  <c r="B30"/>
  <c r="B28"/>
  <c r="B26"/>
  <c r="B24"/>
  <c r="B22"/>
  <c r="B21"/>
  <c r="N20" i="27"/>
  <c r="D22"/>
  <c r="I21"/>
  <c r="N22" s="1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B20"/>
  <c r="I20"/>
  <c r="N21" s="1"/>
  <c r="G174"/>
  <c r="G173"/>
  <c r="G172"/>
  <c r="P167"/>
  <c r="C167"/>
  <c r="B165"/>
  <c r="B163"/>
  <c r="B161"/>
  <c r="B159"/>
  <c r="B157"/>
  <c r="B155"/>
  <c r="B153"/>
  <c r="B151"/>
  <c r="B149"/>
  <c r="B147"/>
  <c r="B145"/>
  <c r="B143"/>
  <c r="B141"/>
  <c r="B139"/>
  <c r="B137"/>
  <c r="B135"/>
  <c r="B133"/>
  <c r="B131"/>
  <c r="B129"/>
  <c r="B127"/>
  <c r="B125"/>
  <c r="B123"/>
  <c r="B121"/>
  <c r="B119"/>
  <c r="B117"/>
  <c r="B115"/>
  <c r="B113"/>
  <c r="B111"/>
  <c r="B109"/>
  <c r="B107"/>
  <c r="B105"/>
  <c r="B103"/>
  <c r="B101"/>
  <c r="B99"/>
  <c r="B97"/>
  <c r="B95"/>
  <c r="B93"/>
  <c r="B91"/>
  <c r="B89"/>
  <c r="B87"/>
  <c r="B85"/>
  <c r="B83"/>
  <c r="B81"/>
  <c r="B79"/>
  <c r="B77"/>
  <c r="B75"/>
  <c r="B73"/>
  <c r="B71"/>
  <c r="B69"/>
  <c r="B67"/>
  <c r="B65"/>
  <c r="B63"/>
  <c r="B61"/>
  <c r="B59"/>
  <c r="B57"/>
  <c r="B55"/>
  <c r="B53"/>
  <c r="B51"/>
  <c r="B49"/>
  <c r="B47"/>
  <c r="B45"/>
  <c r="B43"/>
  <c r="B41"/>
  <c r="B39"/>
  <c r="B37"/>
  <c r="B35"/>
  <c r="B33"/>
  <c r="B31"/>
  <c r="B29"/>
  <c r="B27"/>
  <c r="B25"/>
  <c r="B23"/>
  <c r="B21"/>
  <c r="K13" i="26"/>
  <c r="I18"/>
  <c r="I19" s="1"/>
  <c r="I20" s="1"/>
  <c r="I21" s="1"/>
  <c r="I22" s="1"/>
  <c r="I23" s="1"/>
  <c r="I24" s="1"/>
  <c r="I25" s="1"/>
  <c r="I26" s="1"/>
  <c r="I27" s="1"/>
  <c r="I28" s="1"/>
  <c r="I29" s="1"/>
  <c r="I30" s="1"/>
  <c r="I31" s="1"/>
  <c r="I32" s="1"/>
  <c r="I33" s="1"/>
  <c r="I34" s="1"/>
  <c r="I35" s="1"/>
  <c r="I36" s="1"/>
  <c r="I37" s="1"/>
  <c r="I38" s="1"/>
  <c r="I39" s="1"/>
  <c r="I40" s="1"/>
  <c r="I41" s="1"/>
  <c r="I42" s="1"/>
  <c r="I43" s="1"/>
  <c r="I44" s="1"/>
  <c r="I45" s="1"/>
  <c r="I46" s="1"/>
  <c r="I47" s="1"/>
  <c r="I48" s="1"/>
  <c r="I49" s="1"/>
  <c r="I50" s="1"/>
  <c r="I51" s="1"/>
  <c r="I52" s="1"/>
  <c r="I53" s="1"/>
  <c r="I54" s="1"/>
  <c r="I55" s="1"/>
  <c r="I56" s="1"/>
  <c r="I57" s="1"/>
  <c r="I58" s="1"/>
  <c r="I59" s="1"/>
  <c r="I60" s="1"/>
  <c r="I61" s="1"/>
  <c r="I62" s="1"/>
  <c r="I63" s="1"/>
  <c r="I64" s="1"/>
  <c r="I65" s="1"/>
  <c r="I66" s="1"/>
  <c r="I67" s="1"/>
  <c r="I68" s="1"/>
  <c r="I69" s="1"/>
  <c r="I70" s="1"/>
  <c r="I71" s="1"/>
  <c r="I72" s="1"/>
  <c r="I73" s="1"/>
  <c r="I74" s="1"/>
  <c r="I75" s="1"/>
  <c r="I76" s="1"/>
  <c r="I77" s="1"/>
  <c r="I78" s="1"/>
  <c r="I79" s="1"/>
  <c r="I80" s="1"/>
  <c r="I81" s="1"/>
  <c r="I82" s="1"/>
  <c r="I83" s="1"/>
  <c r="I84" s="1"/>
  <c r="I85" s="1"/>
  <c r="I86" s="1"/>
  <c r="I87" s="1"/>
  <c r="I88" s="1"/>
  <c r="I89" s="1"/>
  <c r="I90" s="1"/>
  <c r="I91" s="1"/>
  <c r="I92" s="1"/>
  <c r="I93" s="1"/>
  <c r="I94" s="1"/>
  <c r="I95" s="1"/>
  <c r="I96" s="1"/>
  <c r="I97" s="1"/>
  <c r="I98" s="1"/>
  <c r="I99" s="1"/>
  <c r="I100" s="1"/>
  <c r="I101" s="1"/>
  <c r="I102" s="1"/>
  <c r="I103" s="1"/>
  <c r="I104" s="1"/>
  <c r="I105" s="1"/>
  <c r="I106" s="1"/>
  <c r="I107" s="1"/>
  <c r="I108" s="1"/>
  <c r="I109" s="1"/>
  <c r="I110" s="1"/>
  <c r="I111" s="1"/>
  <c r="I112" s="1"/>
  <c r="I113" s="1"/>
  <c r="I114" s="1"/>
  <c r="I115" s="1"/>
  <c r="I116" s="1"/>
  <c r="I117" s="1"/>
  <c r="I118" s="1"/>
  <c r="I119" s="1"/>
  <c r="I120" s="1"/>
  <c r="I121" s="1"/>
  <c r="I122" s="1"/>
  <c r="I123" s="1"/>
  <c r="I124" s="1"/>
  <c r="I125" s="1"/>
  <c r="I126" s="1"/>
  <c r="I127" s="1"/>
  <c r="I128" s="1"/>
  <c r="I129" s="1"/>
  <c r="I130" s="1"/>
  <c r="I131" s="1"/>
  <c r="I132" s="1"/>
  <c r="I133" s="1"/>
  <c r="I134" s="1"/>
  <c r="I135" s="1"/>
  <c r="I136" s="1"/>
  <c r="I137" s="1"/>
  <c r="I138" s="1"/>
  <c r="I139" s="1"/>
  <c r="I140" s="1"/>
  <c r="I141" s="1"/>
  <c r="I142" s="1"/>
  <c r="I143" s="1"/>
  <c r="I144" s="1"/>
  <c r="I145" s="1"/>
  <c r="I146" s="1"/>
  <c r="I147" s="1"/>
  <c r="I148" s="1"/>
  <c r="I149" s="1"/>
  <c r="I150" s="1"/>
  <c r="I151" s="1"/>
  <c r="I152" s="1"/>
  <c r="I153" s="1"/>
  <c r="I154" s="1"/>
  <c r="I155" s="1"/>
  <c r="I156" s="1"/>
  <c r="I157" s="1"/>
  <c r="I158" s="1"/>
  <c r="I159" s="1"/>
  <c r="I160" s="1"/>
  <c r="I161" s="1"/>
  <c r="I17"/>
  <c r="I16"/>
  <c r="I15"/>
  <c r="I14"/>
  <c r="D17"/>
  <c r="D15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B156"/>
  <c r="B154"/>
  <c r="B152"/>
  <c r="B150"/>
  <c r="B148"/>
  <c r="B146"/>
  <c r="B144"/>
  <c r="B142"/>
  <c r="B140"/>
  <c r="B138"/>
  <c r="B136"/>
  <c r="B134"/>
  <c r="B132"/>
  <c r="B130"/>
  <c r="B128"/>
  <c r="B126"/>
  <c r="B124"/>
  <c r="B122"/>
  <c r="B120"/>
  <c r="B118"/>
  <c r="B116"/>
  <c r="B114"/>
  <c r="B112"/>
  <c r="B110"/>
  <c r="B108"/>
  <c r="B106"/>
  <c r="B104"/>
  <c r="B102"/>
  <c r="B100"/>
  <c r="B98"/>
  <c r="B96"/>
  <c r="B94"/>
  <c r="B92"/>
  <c r="B90"/>
  <c r="B88"/>
  <c r="B86"/>
  <c r="B84"/>
  <c r="B82"/>
  <c r="B80"/>
  <c r="B78"/>
  <c r="B76"/>
  <c r="B74"/>
  <c r="B72"/>
  <c r="B70"/>
  <c r="B68"/>
  <c r="B66"/>
  <c r="B64"/>
  <c r="B62"/>
  <c r="B60"/>
  <c r="B58"/>
  <c r="B56"/>
  <c r="B54"/>
  <c r="B52"/>
  <c r="B50"/>
  <c r="B48"/>
  <c r="B46"/>
  <c r="B44"/>
  <c r="B42"/>
  <c r="B40"/>
  <c r="B38"/>
  <c r="B36"/>
  <c r="B34"/>
  <c r="B32"/>
  <c r="B30"/>
  <c r="B28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I13"/>
  <c r="G171"/>
  <c r="G170"/>
  <c r="G169"/>
  <c r="P164"/>
  <c r="C164"/>
  <c r="B162"/>
  <c r="B160"/>
  <c r="B158"/>
  <c r="L27"/>
  <c r="L26"/>
  <c r="B26"/>
  <c r="L25"/>
  <c r="L24"/>
  <c r="B24"/>
  <c r="L23"/>
  <c r="L22"/>
  <c r="B22"/>
  <c r="L21"/>
  <c r="L20"/>
  <c r="B20"/>
  <c r="L19"/>
  <c r="L18"/>
  <c r="B18"/>
  <c r="L17"/>
  <c r="L16"/>
  <c r="B16"/>
  <c r="L15"/>
  <c r="L14"/>
  <c r="B14"/>
  <c r="S13"/>
  <c r="B13"/>
  <c r="H13" s="1"/>
  <c r="J29" l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J55" s="1"/>
  <c r="J56" s="1"/>
  <c r="J57" s="1"/>
  <c r="J58" s="1"/>
  <c r="J59" s="1"/>
  <c r="J60" s="1"/>
  <c r="J61" s="1"/>
  <c r="J62" s="1"/>
  <c r="J63" s="1"/>
  <c r="J64" s="1"/>
  <c r="J65" s="1"/>
  <c r="J66" s="1"/>
  <c r="J67" s="1"/>
  <c r="J68" s="1"/>
  <c r="J69" s="1"/>
  <c r="J70" s="1"/>
  <c r="J71" s="1"/>
  <c r="J72" s="1"/>
  <c r="J73" s="1"/>
  <c r="J74" s="1"/>
  <c r="J75" s="1"/>
  <c r="J76" s="1"/>
  <c r="J77" s="1"/>
  <c r="J78" s="1"/>
  <c r="J79" s="1"/>
  <c r="J80" s="1"/>
  <c r="J81" s="1"/>
  <c r="J82" s="1"/>
  <c r="J83" s="1"/>
  <c r="J84" s="1"/>
  <c r="J85" s="1"/>
  <c r="J86" s="1"/>
  <c r="J87" s="1"/>
  <c r="J88" s="1"/>
  <c r="J89" s="1"/>
  <c r="J90" s="1"/>
  <c r="J91" s="1"/>
  <c r="J92" s="1"/>
  <c r="J93" s="1"/>
  <c r="J94" s="1"/>
  <c r="J95" s="1"/>
  <c r="J96" s="1"/>
  <c r="J97" s="1"/>
  <c r="J98" s="1"/>
  <c r="J99" s="1"/>
  <c r="J100" s="1"/>
  <c r="J101" s="1"/>
  <c r="J102" s="1"/>
  <c r="J103" s="1"/>
  <c r="J104" s="1"/>
  <c r="J105" s="1"/>
  <c r="J106" s="1"/>
  <c r="J107" s="1"/>
  <c r="J108" s="1"/>
  <c r="J109" s="1"/>
  <c r="J110" s="1"/>
  <c r="J111" s="1"/>
  <c r="J112" s="1"/>
  <c r="J113" s="1"/>
  <c r="J114" s="1"/>
  <c r="J115" s="1"/>
  <c r="J116" s="1"/>
  <c r="J117" s="1"/>
  <c r="J118" s="1"/>
  <c r="J119" s="1"/>
  <c r="J120" s="1"/>
  <c r="J121" s="1"/>
  <c r="J122" s="1"/>
  <c r="J123" s="1"/>
  <c r="J124" s="1"/>
  <c r="J125" s="1"/>
  <c r="J126" s="1"/>
  <c r="J127" s="1"/>
  <c r="J128" s="1"/>
  <c r="J129" s="1"/>
  <c r="J130" s="1"/>
  <c r="J131" s="1"/>
  <c r="J132" s="1"/>
  <c r="J133" s="1"/>
  <c r="J134" s="1"/>
  <c r="J135" s="1"/>
  <c r="J136" s="1"/>
  <c r="J137" s="1"/>
  <c r="J138" s="1"/>
  <c r="J139" s="1"/>
  <c r="J140" s="1"/>
  <c r="J141" s="1"/>
  <c r="J142" s="1"/>
  <c r="J143" s="1"/>
  <c r="J144" s="1"/>
  <c r="J145" s="1"/>
  <c r="J146" s="1"/>
  <c r="J147" s="1"/>
  <c r="J148" s="1"/>
  <c r="J149" s="1"/>
  <c r="J150" s="1"/>
  <c r="J151" s="1"/>
  <c r="J152" s="1"/>
  <c r="J153" s="1"/>
  <c r="J154" s="1"/>
  <c r="J155" s="1"/>
  <c r="J156" s="1"/>
  <c r="J157" s="1"/>
  <c r="J158" s="1"/>
  <c r="J159" s="1"/>
  <c r="J160" s="1"/>
  <c r="J161" s="1"/>
  <c r="J162" s="1"/>
  <c r="J163" s="1"/>
  <c r="H21" i="30"/>
  <c r="B23"/>
  <c r="I22"/>
  <c r="N22"/>
  <c r="O19" i="1"/>
  <c r="C15" i="22"/>
  <c r="J14"/>
  <c r="O15" s="1"/>
  <c r="J20" i="21"/>
  <c r="J21" s="1"/>
  <c r="I22"/>
  <c r="N22"/>
  <c r="D22"/>
  <c r="N21" i="1"/>
  <c r="J21" s="1"/>
  <c r="V22"/>
  <c r="I22"/>
  <c r="D23"/>
  <c r="N22" i="29"/>
  <c r="V22" s="1"/>
  <c r="D23"/>
  <c r="B23" s="1"/>
  <c r="I22"/>
  <c r="J20" i="27"/>
  <c r="J21" s="1"/>
  <c r="J22" s="1"/>
  <c r="I22"/>
  <c r="I162" i="26"/>
  <c r="I163" s="1"/>
  <c r="N16"/>
  <c r="V16" s="1"/>
  <c r="B17"/>
  <c r="N14"/>
  <c r="I23" i="30" l="1"/>
  <c r="N23"/>
  <c r="S22"/>
  <c r="V22"/>
  <c r="J22"/>
  <c r="J22" i="1"/>
  <c r="W22" s="1"/>
  <c r="W14" i="22"/>
  <c r="K14"/>
  <c r="J15"/>
  <c r="O16" s="1"/>
  <c r="B22" i="21"/>
  <c r="J22"/>
  <c r="W21"/>
  <c r="I23"/>
  <c r="N23"/>
  <c r="D24"/>
  <c r="B24" s="1"/>
  <c r="V22"/>
  <c r="I23" i="1"/>
  <c r="N23"/>
  <c r="B23"/>
  <c r="S22" i="29"/>
  <c r="J22"/>
  <c r="W22" s="1"/>
  <c r="N23"/>
  <c r="I23"/>
  <c r="N23" i="27"/>
  <c r="I23"/>
  <c r="B15" i="26"/>
  <c r="N15"/>
  <c r="D19"/>
  <c r="N17"/>
  <c r="V14"/>
  <c r="J14"/>
  <c r="J23" i="30" l="1"/>
  <c r="W22"/>
  <c r="N24"/>
  <c r="D25"/>
  <c r="H23"/>
  <c r="I24"/>
  <c r="S24"/>
  <c r="V23"/>
  <c r="H22"/>
  <c r="Q24" s="1"/>
  <c r="J23" i="1"/>
  <c r="W23" s="1"/>
  <c r="W15" i="22"/>
  <c r="J16"/>
  <c r="O17" s="1"/>
  <c r="W16"/>
  <c r="K15"/>
  <c r="X14"/>
  <c r="V23" i="21"/>
  <c r="W22"/>
  <c r="J23"/>
  <c r="I24"/>
  <c r="S23"/>
  <c r="I24" i="1"/>
  <c r="N24"/>
  <c r="V24" s="1"/>
  <c r="D25"/>
  <c r="J24"/>
  <c r="S24"/>
  <c r="V23"/>
  <c r="J23" i="29"/>
  <c r="W23" s="1"/>
  <c r="V23"/>
  <c r="N24"/>
  <c r="I24"/>
  <c r="D25"/>
  <c r="B25" s="1"/>
  <c r="J23" i="27"/>
  <c r="N24"/>
  <c r="I24"/>
  <c r="W14" i="26"/>
  <c r="N18"/>
  <c r="S18" s="1"/>
  <c r="V17"/>
  <c r="V15"/>
  <c r="S16"/>
  <c r="V24" i="30" l="1"/>
  <c r="B25"/>
  <c r="J24"/>
  <c r="W23"/>
  <c r="N25"/>
  <c r="I25"/>
  <c r="H24"/>
  <c r="Q26" s="1"/>
  <c r="T16" i="22"/>
  <c r="X15"/>
  <c r="K16"/>
  <c r="C17"/>
  <c r="J17"/>
  <c r="O18" s="1"/>
  <c r="W23" i="21"/>
  <c r="J24"/>
  <c r="D26"/>
  <c r="I25"/>
  <c r="V24"/>
  <c r="I25" i="1"/>
  <c r="N25"/>
  <c r="B25"/>
  <c r="W24"/>
  <c r="J24" i="29"/>
  <c r="W24" s="1"/>
  <c r="S24"/>
  <c r="V24"/>
  <c r="I25"/>
  <c r="N25"/>
  <c r="N25" i="27"/>
  <c r="I25"/>
  <c r="V21"/>
  <c r="B19" i="26"/>
  <c r="W15"/>
  <c r="V18"/>
  <c r="D21"/>
  <c r="N19"/>
  <c r="V25" i="30" l="1"/>
  <c r="N26"/>
  <c r="D27"/>
  <c r="I26"/>
  <c r="W24"/>
  <c r="J25"/>
  <c r="J25" i="29"/>
  <c r="W25" s="1"/>
  <c r="W18" i="22"/>
  <c r="J18"/>
  <c r="O19" s="1"/>
  <c r="K17"/>
  <c r="X16"/>
  <c r="W17"/>
  <c r="W24" i="21"/>
  <c r="J25"/>
  <c r="I26"/>
  <c r="V25"/>
  <c r="B26"/>
  <c r="S25"/>
  <c r="V25" i="1"/>
  <c r="J25"/>
  <c r="D27"/>
  <c r="I26"/>
  <c r="N26"/>
  <c r="V26" s="1"/>
  <c r="V25" i="29"/>
  <c r="N26"/>
  <c r="V26" s="1"/>
  <c r="I26"/>
  <c r="D27"/>
  <c r="B27" s="1"/>
  <c r="N26" i="27"/>
  <c r="I26"/>
  <c r="S21"/>
  <c r="B22"/>
  <c r="W16" i="26"/>
  <c r="V19"/>
  <c r="N20"/>
  <c r="S20" s="1"/>
  <c r="B27" i="30" l="1"/>
  <c r="I27"/>
  <c r="N27"/>
  <c r="V26"/>
  <c r="J26"/>
  <c r="W25"/>
  <c r="H25"/>
  <c r="S26"/>
  <c r="J19" i="22"/>
  <c r="O20" s="1"/>
  <c r="K18"/>
  <c r="X17"/>
  <c r="C19"/>
  <c r="T18"/>
  <c r="W25" i="21"/>
  <c r="J26"/>
  <c r="D28"/>
  <c r="I27"/>
  <c r="V26"/>
  <c r="N27" i="1"/>
  <c r="I27"/>
  <c r="S26"/>
  <c r="B27"/>
  <c r="W25"/>
  <c r="J26"/>
  <c r="I27" i="29"/>
  <c r="V27"/>
  <c r="S26"/>
  <c r="J26"/>
  <c r="D29"/>
  <c r="N27" i="27"/>
  <c r="I27"/>
  <c r="V22"/>
  <c r="D24"/>
  <c r="J24" s="1"/>
  <c r="B21" i="26"/>
  <c r="W17"/>
  <c r="N21"/>
  <c r="D23"/>
  <c r="V20"/>
  <c r="N28" i="30" l="1"/>
  <c r="V28" s="1"/>
  <c r="D29"/>
  <c r="I28"/>
  <c r="W26"/>
  <c r="J27"/>
  <c r="H27" s="1"/>
  <c r="V27"/>
  <c r="H26"/>
  <c r="Q28" s="1"/>
  <c r="W20" i="22"/>
  <c r="J20"/>
  <c r="O21" s="1"/>
  <c r="K19"/>
  <c r="X18"/>
  <c r="W19"/>
  <c r="V27" i="21"/>
  <c r="I28"/>
  <c r="J27"/>
  <c r="W26"/>
  <c r="B28"/>
  <c r="S27"/>
  <c r="V27" i="1"/>
  <c r="W26"/>
  <c r="J27"/>
  <c r="D29"/>
  <c r="N28"/>
  <c r="I28"/>
  <c r="V28" i="29"/>
  <c r="I28"/>
  <c r="J27"/>
  <c r="W27" s="1"/>
  <c r="W26"/>
  <c r="B29"/>
  <c r="J25" i="27"/>
  <c r="N28"/>
  <c r="I28"/>
  <c r="W21"/>
  <c r="V23"/>
  <c r="B24"/>
  <c r="S23"/>
  <c r="V21" i="26"/>
  <c r="N22"/>
  <c r="W18"/>
  <c r="J28" i="30" l="1"/>
  <c r="H28" s="1"/>
  <c r="Q30" s="1"/>
  <c r="W27"/>
  <c r="B29"/>
  <c r="I29"/>
  <c r="N29"/>
  <c r="S28"/>
  <c r="T20" i="22"/>
  <c r="C21"/>
  <c r="J21"/>
  <c r="O22" s="1"/>
  <c r="K20"/>
  <c r="X19"/>
  <c r="J28" i="21"/>
  <c r="W27"/>
  <c r="S29"/>
  <c r="I29"/>
  <c r="D30"/>
  <c r="V28"/>
  <c r="B29" i="1"/>
  <c r="J28"/>
  <c r="W27"/>
  <c r="V28"/>
  <c r="N29"/>
  <c r="I29"/>
  <c r="S28"/>
  <c r="S28" i="29"/>
  <c r="J28"/>
  <c r="W28" s="1"/>
  <c r="I29"/>
  <c r="D31" s="1"/>
  <c r="B31" s="1"/>
  <c r="V29"/>
  <c r="N29" i="27"/>
  <c r="I29"/>
  <c r="V25"/>
  <c r="D26"/>
  <c r="J26" s="1"/>
  <c r="W22"/>
  <c r="V24"/>
  <c r="W19" i="26"/>
  <c r="V22"/>
  <c r="B23"/>
  <c r="S22"/>
  <c r="N23"/>
  <c r="D25"/>
  <c r="V29" i="30" l="1"/>
  <c r="J29"/>
  <c r="W28"/>
  <c r="D31"/>
  <c r="I30"/>
  <c r="N30"/>
  <c r="V30" s="1"/>
  <c r="W21" i="22"/>
  <c r="J22"/>
  <c r="O23" s="1"/>
  <c r="W22"/>
  <c r="K21"/>
  <c r="X20"/>
  <c r="J29" i="21"/>
  <c r="W28"/>
  <c r="B30"/>
  <c r="V29"/>
  <c r="I30"/>
  <c r="N30" i="1"/>
  <c r="V30" s="1"/>
  <c r="D31"/>
  <c r="I30"/>
  <c r="V29"/>
  <c r="J29"/>
  <c r="W28"/>
  <c r="V30" i="29"/>
  <c r="I30"/>
  <c r="J29"/>
  <c r="S30"/>
  <c r="J27" i="27"/>
  <c r="I30"/>
  <c r="B26"/>
  <c r="S25"/>
  <c r="W23"/>
  <c r="V23" i="26"/>
  <c r="W20"/>
  <c r="N24"/>
  <c r="V24" s="1"/>
  <c r="W29" i="30" l="1"/>
  <c r="J30"/>
  <c r="B31"/>
  <c r="N31"/>
  <c r="I31"/>
  <c r="H30"/>
  <c r="Q162" s="1"/>
  <c r="H29"/>
  <c r="S30"/>
  <c r="T22" i="22"/>
  <c r="C23"/>
  <c r="X21"/>
  <c r="K22"/>
  <c r="J23"/>
  <c r="O24" s="1"/>
  <c r="J30" i="21"/>
  <c r="W29"/>
  <c r="I31"/>
  <c r="D32"/>
  <c r="B32" s="1"/>
  <c r="V30"/>
  <c r="B31" i="1"/>
  <c r="I31"/>
  <c r="N31"/>
  <c r="S30"/>
  <c r="J30"/>
  <c r="W29"/>
  <c r="J30" i="29"/>
  <c r="W30" s="1"/>
  <c r="V31"/>
  <c r="I31"/>
  <c r="W29"/>
  <c r="I31" i="27"/>
  <c r="D28"/>
  <c r="J28" s="1"/>
  <c r="V27"/>
  <c r="W24"/>
  <c r="S27"/>
  <c r="V26"/>
  <c r="S24" i="26"/>
  <c r="D27"/>
  <c r="N25"/>
  <c r="W21"/>
  <c r="B25"/>
  <c r="V31" i="30" l="1"/>
  <c r="D33"/>
  <c r="B33" s="1"/>
  <c r="N32"/>
  <c r="I32"/>
  <c r="W30"/>
  <c r="J31"/>
  <c r="W23" i="22"/>
  <c r="C25"/>
  <c r="W24"/>
  <c r="J24"/>
  <c r="O25" s="1"/>
  <c r="X22"/>
  <c r="K23"/>
  <c r="W30" i="21"/>
  <c r="J31"/>
  <c r="J32" s="1"/>
  <c r="I32"/>
  <c r="I32" i="1"/>
  <c r="D33"/>
  <c r="B33" s="1"/>
  <c r="N32"/>
  <c r="J31"/>
  <c r="W30"/>
  <c r="V31"/>
  <c r="J31" i="29"/>
  <c r="I32"/>
  <c r="D33"/>
  <c r="B33" s="1"/>
  <c r="W31"/>
  <c r="J29" i="27"/>
  <c r="I32"/>
  <c r="B28"/>
  <c r="W25"/>
  <c r="V25" i="26"/>
  <c r="W22"/>
  <c r="B27"/>
  <c r="N26"/>
  <c r="V26" s="1"/>
  <c r="J32" i="30" l="1"/>
  <c r="H32" s="1"/>
  <c r="W31"/>
  <c r="N33"/>
  <c r="I33"/>
  <c r="H31"/>
  <c r="T24" i="22"/>
  <c r="K24"/>
  <c r="X23"/>
  <c r="J25"/>
  <c r="O26" s="1"/>
  <c r="I33" i="21"/>
  <c r="D34"/>
  <c r="B34" s="1"/>
  <c r="J33"/>
  <c r="N33" i="1"/>
  <c r="I33"/>
  <c r="W31"/>
  <c r="J32"/>
  <c r="J32" i="29"/>
  <c r="I33"/>
  <c r="D35" s="1"/>
  <c r="B35" s="1"/>
  <c r="I33" i="27"/>
  <c r="V28"/>
  <c r="W26"/>
  <c r="D30"/>
  <c r="J30" s="1"/>
  <c r="V29"/>
  <c r="D29" i="26"/>
  <c r="W23"/>
  <c r="S26"/>
  <c r="N34" i="30" l="1"/>
  <c r="I34"/>
  <c r="D35"/>
  <c r="B35" s="1"/>
  <c r="J33"/>
  <c r="J34" s="1"/>
  <c r="W25" i="22"/>
  <c r="T26"/>
  <c r="X24"/>
  <c r="K25"/>
  <c r="C27"/>
  <c r="J26"/>
  <c r="O27" s="1"/>
  <c r="W26"/>
  <c r="J34" i="21"/>
  <c r="I34"/>
  <c r="J33" i="1"/>
  <c r="I34"/>
  <c r="D35"/>
  <c r="B35" s="1"/>
  <c r="N34"/>
  <c r="J33" i="29"/>
  <c r="I34"/>
  <c r="J31" i="27"/>
  <c r="I34"/>
  <c r="B30"/>
  <c r="S29"/>
  <c r="W27"/>
  <c r="B29" i="26"/>
  <c r="V27"/>
  <c r="W24"/>
  <c r="H33" i="30" l="1"/>
  <c r="N35"/>
  <c r="H34"/>
  <c r="I35"/>
  <c r="J35"/>
  <c r="J27" i="22"/>
  <c r="O28" s="1"/>
  <c r="K26"/>
  <c r="X25"/>
  <c r="I35" i="21"/>
  <c r="D36"/>
  <c r="B36" s="1"/>
  <c r="J35"/>
  <c r="J34" i="1"/>
  <c r="N35"/>
  <c r="I35"/>
  <c r="J34" i="29"/>
  <c r="I35"/>
  <c r="I35" i="27"/>
  <c r="W28"/>
  <c r="V30"/>
  <c r="D32"/>
  <c r="B32" s="1"/>
  <c r="D31" i="26"/>
  <c r="W25"/>
  <c r="H35" i="30" l="1"/>
  <c r="D37"/>
  <c r="B37" s="1"/>
  <c r="N36"/>
  <c r="J36" s="1"/>
  <c r="I36"/>
  <c r="W27" i="22"/>
  <c r="C29"/>
  <c r="J28"/>
  <c r="O29" s="1"/>
  <c r="K27"/>
  <c r="X26"/>
  <c r="J36" i="21"/>
  <c r="I36"/>
  <c r="J35" i="1"/>
  <c r="I36"/>
  <c r="D37"/>
  <c r="B37" s="1"/>
  <c r="N36"/>
  <c r="J35" i="29"/>
  <c r="I36"/>
  <c r="D37"/>
  <c r="B37" s="1"/>
  <c r="J32" i="27"/>
  <c r="J33" s="1"/>
  <c r="I36"/>
  <c r="W29"/>
  <c r="B31" i="26"/>
  <c r="W26"/>
  <c r="I37" i="30" l="1"/>
  <c r="N37"/>
  <c r="J37" s="1"/>
  <c r="H36"/>
  <c r="J29" i="22"/>
  <c r="O30" s="1"/>
  <c r="K28"/>
  <c r="X27"/>
  <c r="I37" i="21"/>
  <c r="D38"/>
  <c r="B38" s="1"/>
  <c r="J37"/>
  <c r="J36" i="1"/>
  <c r="N37"/>
  <c r="I37"/>
  <c r="J36" i="29"/>
  <c r="I37"/>
  <c r="I37" i="27"/>
  <c r="W30"/>
  <c r="D34"/>
  <c r="B34" s="1"/>
  <c r="D33" i="26"/>
  <c r="W27"/>
  <c r="J38" i="30" l="1"/>
  <c r="N38"/>
  <c r="I38"/>
  <c r="D39"/>
  <c r="B39" s="1"/>
  <c r="H37"/>
  <c r="K29" i="22"/>
  <c r="C31"/>
  <c r="J30"/>
  <c r="O31" s="1"/>
  <c r="J38" i="21"/>
  <c r="I38"/>
  <c r="J37" i="1"/>
  <c r="I38"/>
  <c r="D39"/>
  <c r="B39" s="1"/>
  <c r="N38"/>
  <c r="J37" i="29"/>
  <c r="I38"/>
  <c r="D39"/>
  <c r="B39" s="1"/>
  <c r="I38" i="27"/>
  <c r="J34"/>
  <c r="B33" i="26"/>
  <c r="N39" i="30" l="1"/>
  <c r="J39" s="1"/>
  <c r="H38"/>
  <c r="I39"/>
  <c r="J38" i="1"/>
  <c r="K30" i="22"/>
  <c r="J31"/>
  <c r="O32" s="1"/>
  <c r="I39" i="21"/>
  <c r="D40"/>
  <c r="B40" s="1"/>
  <c r="J39"/>
  <c r="N39" i="1"/>
  <c r="J39" s="1"/>
  <c r="I39"/>
  <c r="J38" i="29"/>
  <c r="I39"/>
  <c r="D41" s="1"/>
  <c r="B41" s="1"/>
  <c r="J35" i="27"/>
  <c r="I39"/>
  <c r="D36"/>
  <c r="B36" s="1"/>
  <c r="D35" i="26"/>
  <c r="H39" i="30" l="1"/>
  <c r="D41"/>
  <c r="B41" s="1"/>
  <c r="I40"/>
  <c r="N40"/>
  <c r="J40" s="1"/>
  <c r="K31" i="22"/>
  <c r="C33"/>
  <c r="J32"/>
  <c r="O33" s="1"/>
  <c r="J40" i="21"/>
  <c r="I40"/>
  <c r="I40" i="1"/>
  <c r="D41"/>
  <c r="B41" s="1"/>
  <c r="N40"/>
  <c r="J40" s="1"/>
  <c r="J39" i="29"/>
  <c r="I40"/>
  <c r="I40" i="27"/>
  <c r="J36"/>
  <c r="B35" i="26"/>
  <c r="J41" i="30" l="1"/>
  <c r="N41"/>
  <c r="H40"/>
  <c r="I41"/>
  <c r="K32" i="22"/>
  <c r="J33"/>
  <c r="O34" s="1"/>
  <c r="I41" i="21"/>
  <c r="D42"/>
  <c r="B42" s="1"/>
  <c r="J41"/>
  <c r="N41" i="1"/>
  <c r="J41" s="1"/>
  <c r="I41"/>
  <c r="J40" i="29"/>
  <c r="I41"/>
  <c r="I41" i="27"/>
  <c r="J37"/>
  <c r="D38"/>
  <c r="B38" s="1"/>
  <c r="D37" i="26"/>
  <c r="J42" i="30" l="1"/>
  <c r="N42"/>
  <c r="I42"/>
  <c r="D43"/>
  <c r="B43" s="1"/>
  <c r="H41"/>
  <c r="K33" i="22"/>
  <c r="C35"/>
  <c r="J34"/>
  <c r="O35" s="1"/>
  <c r="J42" i="21"/>
  <c r="I42"/>
  <c r="I42" i="1"/>
  <c r="D43"/>
  <c r="B43" s="1"/>
  <c r="N42"/>
  <c r="J42" s="1"/>
  <c r="J41" i="29"/>
  <c r="I42"/>
  <c r="D43"/>
  <c r="B43" s="1"/>
  <c r="J38" i="27"/>
  <c r="I42"/>
  <c r="B37" i="26"/>
  <c r="N43" i="30" l="1"/>
  <c r="J43" s="1"/>
  <c r="H42"/>
  <c r="I43"/>
  <c r="K34" i="22"/>
  <c r="J35"/>
  <c r="O36" s="1"/>
  <c r="I43" i="21"/>
  <c r="D44"/>
  <c r="B44" s="1"/>
  <c r="J43"/>
  <c r="J43" i="1"/>
  <c r="N43"/>
  <c r="I43"/>
  <c r="J42" i="29"/>
  <c r="I43"/>
  <c r="J39" i="27"/>
  <c r="I43"/>
  <c r="D40"/>
  <c r="B40" s="1"/>
  <c r="D39" i="26"/>
  <c r="H43" i="30" l="1"/>
  <c r="D45"/>
  <c r="B45" s="1"/>
  <c r="I44"/>
  <c r="N44"/>
  <c r="J44" s="1"/>
  <c r="K35" i="22"/>
  <c r="C37"/>
  <c r="J36"/>
  <c r="O37" s="1"/>
  <c r="J44" i="21"/>
  <c r="I44"/>
  <c r="I44" i="1"/>
  <c r="D45"/>
  <c r="B45" s="1"/>
  <c r="N44"/>
  <c r="J44"/>
  <c r="J43" i="29"/>
  <c r="I44"/>
  <c r="D45"/>
  <c r="B45" s="1"/>
  <c r="J40" i="27"/>
  <c r="I44"/>
  <c r="B39" i="26"/>
  <c r="J45" i="30" l="1"/>
  <c r="I45"/>
  <c r="N45"/>
  <c r="H44"/>
  <c r="K36" i="22"/>
  <c r="J37"/>
  <c r="I45" i="21"/>
  <c r="D46"/>
  <c r="B46" s="1"/>
  <c r="J45"/>
  <c r="N45" i="1"/>
  <c r="J45" s="1"/>
  <c r="I45"/>
  <c r="J44" i="29"/>
  <c r="I45"/>
  <c r="D47" s="1"/>
  <c r="B47" s="1"/>
  <c r="I45" i="27"/>
  <c r="J41"/>
  <c r="D42"/>
  <c r="B42" s="1"/>
  <c r="D41" i="26"/>
  <c r="N46" i="30" l="1"/>
  <c r="I46"/>
  <c r="D47"/>
  <c r="B47" s="1"/>
  <c r="H45"/>
  <c r="J46"/>
  <c r="O38" i="22"/>
  <c r="J38"/>
  <c r="K37"/>
  <c r="J46" i="21"/>
  <c r="I46"/>
  <c r="I46" i="1"/>
  <c r="D47"/>
  <c r="B47" s="1"/>
  <c r="N46"/>
  <c r="J46" s="1"/>
  <c r="J45" i="29"/>
  <c r="I46"/>
  <c r="I46" i="27"/>
  <c r="J42"/>
  <c r="B41" i="26"/>
  <c r="N47" i="30" l="1"/>
  <c r="J47" s="1"/>
  <c r="H46"/>
  <c r="I47"/>
  <c r="I47" i="21"/>
  <c r="D48"/>
  <c r="B48" s="1"/>
  <c r="J47"/>
  <c r="N47" i="1"/>
  <c r="J47" s="1"/>
  <c r="I47"/>
  <c r="J46" i="29"/>
  <c r="I47"/>
  <c r="D49" s="1"/>
  <c r="B49" s="1"/>
  <c r="J43" i="27"/>
  <c r="I47"/>
  <c r="D44"/>
  <c r="B44" s="1"/>
  <c r="D43" i="26"/>
  <c r="H47" i="30" l="1"/>
  <c r="D49"/>
  <c r="B49" s="1"/>
  <c r="N48"/>
  <c r="J48" s="1"/>
  <c r="I48"/>
  <c r="J47" i="29"/>
  <c r="J48" i="21"/>
  <c r="I48"/>
  <c r="I48" i="1"/>
  <c r="D49"/>
  <c r="B49" s="1"/>
  <c r="N48"/>
  <c r="J48" s="1"/>
  <c r="I48" i="29"/>
  <c r="I48" i="27"/>
  <c r="J44"/>
  <c r="B43" i="26"/>
  <c r="N49" i="30" l="1"/>
  <c r="J49" s="1"/>
  <c r="H48"/>
  <c r="I49"/>
  <c r="J48" i="29"/>
  <c r="I49" i="21"/>
  <c r="D50"/>
  <c r="B50" s="1"/>
  <c r="J49"/>
  <c r="N49" i="1"/>
  <c r="J49" s="1"/>
  <c r="I49"/>
  <c r="I49" i="29"/>
  <c r="D51" s="1"/>
  <c r="B51" s="1"/>
  <c r="J45" i="27"/>
  <c r="I49"/>
  <c r="D46"/>
  <c r="B46" s="1"/>
  <c r="D45" i="26"/>
  <c r="J50" i="30" l="1"/>
  <c r="N50"/>
  <c r="I50"/>
  <c r="D51"/>
  <c r="B51" s="1"/>
  <c r="H49"/>
  <c r="J49" i="29"/>
  <c r="J50" i="21"/>
  <c r="I50"/>
  <c r="I50" i="1"/>
  <c r="D51"/>
  <c r="B51" s="1"/>
  <c r="N50"/>
  <c r="J50" s="1"/>
  <c r="I50" i="29"/>
  <c r="I50" i="27"/>
  <c r="J46"/>
  <c r="B45" i="26"/>
  <c r="N51" i="30" l="1"/>
  <c r="J51" s="1"/>
  <c r="H50"/>
  <c r="I51"/>
  <c r="J50" i="29"/>
  <c r="I51" i="21"/>
  <c r="D52"/>
  <c r="B52" s="1"/>
  <c r="J51"/>
  <c r="N51" i="1"/>
  <c r="J51" s="1"/>
  <c r="I51"/>
  <c r="I51" i="29"/>
  <c r="D53" s="1"/>
  <c r="B53" s="1"/>
  <c r="I51" i="27"/>
  <c r="J47"/>
  <c r="D48"/>
  <c r="B48" s="1"/>
  <c r="D47" i="26"/>
  <c r="H51" i="30" l="1"/>
  <c r="D53"/>
  <c r="B53" s="1"/>
  <c r="I52"/>
  <c r="N52"/>
  <c r="J52" s="1"/>
  <c r="J51" i="29"/>
  <c r="J52" i="21"/>
  <c r="I52"/>
  <c r="I52" i="1"/>
  <c r="D53"/>
  <c r="B53" s="1"/>
  <c r="N52"/>
  <c r="J52" s="1"/>
  <c r="I52" i="29"/>
  <c r="J48" i="27"/>
  <c r="I52"/>
  <c r="B47" i="26"/>
  <c r="J53" i="30" l="1"/>
  <c r="I53"/>
  <c r="N53"/>
  <c r="H52"/>
  <c r="J52" i="29"/>
  <c r="I53" i="21"/>
  <c r="D54"/>
  <c r="B54" s="1"/>
  <c r="J53"/>
  <c r="N53" i="1"/>
  <c r="J53" s="1"/>
  <c r="I53"/>
  <c r="I53" i="29"/>
  <c r="I53" i="27"/>
  <c r="J49"/>
  <c r="D50"/>
  <c r="B50" s="1"/>
  <c r="D49" i="26"/>
  <c r="N54" i="30" l="1"/>
  <c r="I54"/>
  <c r="D55"/>
  <c r="B55" s="1"/>
  <c r="H53"/>
  <c r="J54"/>
  <c r="J53" i="29"/>
  <c r="J54" i="21"/>
  <c r="I54"/>
  <c r="I54" i="1"/>
  <c r="D55"/>
  <c r="B55" s="1"/>
  <c r="N54"/>
  <c r="J54" s="1"/>
  <c r="I54" i="29"/>
  <c r="D55"/>
  <c r="B55" s="1"/>
  <c r="I54" i="27"/>
  <c r="J50"/>
  <c r="B49" i="26"/>
  <c r="N55" i="30" l="1"/>
  <c r="J55" s="1"/>
  <c r="H54"/>
  <c r="I55"/>
  <c r="J54" i="29"/>
  <c r="J55" s="1"/>
  <c r="I55" i="21"/>
  <c r="D56"/>
  <c r="B56" s="1"/>
  <c r="J55"/>
  <c r="N55" i="1"/>
  <c r="J55" s="1"/>
  <c r="I55"/>
  <c r="I55" i="29"/>
  <c r="J51" i="27"/>
  <c r="I55"/>
  <c r="D52"/>
  <c r="B52" s="1"/>
  <c r="D51" i="26"/>
  <c r="H55" i="30" l="1"/>
  <c r="D57"/>
  <c r="B57" s="1"/>
  <c r="N56"/>
  <c r="I56"/>
  <c r="J56"/>
  <c r="J56" i="21"/>
  <c r="I56"/>
  <c r="I56" i="1"/>
  <c r="D57"/>
  <c r="B57" s="1"/>
  <c r="N56"/>
  <c r="J56" s="1"/>
  <c r="J56" i="29"/>
  <c r="I56"/>
  <c r="D57"/>
  <c r="B57" s="1"/>
  <c r="I56" i="27"/>
  <c r="J52"/>
  <c r="B51" i="26"/>
  <c r="J57" i="30" l="1"/>
  <c r="N57"/>
  <c r="H56"/>
  <c r="I57"/>
  <c r="I57" i="21"/>
  <c r="D58"/>
  <c r="B58" s="1"/>
  <c r="J57"/>
  <c r="N57" i="1"/>
  <c r="J57" s="1"/>
  <c r="I57"/>
  <c r="I57" i="29"/>
  <c r="D59" s="1"/>
  <c r="B59" s="1"/>
  <c r="J57"/>
  <c r="I57" i="27"/>
  <c r="J53"/>
  <c r="D54"/>
  <c r="B54" s="1"/>
  <c r="D53" i="26"/>
  <c r="N58" i="30" l="1"/>
  <c r="I58"/>
  <c r="H57"/>
  <c r="D59"/>
  <c r="B59" s="1"/>
  <c r="J58"/>
  <c r="J58" i="21"/>
  <c r="I58"/>
  <c r="I58" i="1"/>
  <c r="D59"/>
  <c r="B59" s="1"/>
  <c r="N58"/>
  <c r="J58" s="1"/>
  <c r="J58" i="29"/>
  <c r="I58"/>
  <c r="J54" i="27"/>
  <c r="I58"/>
  <c r="B53" i="26"/>
  <c r="N59" i="30" l="1"/>
  <c r="H58"/>
  <c r="I59"/>
  <c r="J59"/>
  <c r="I59" i="21"/>
  <c r="D60"/>
  <c r="B60" s="1"/>
  <c r="J59"/>
  <c r="N59" i="1"/>
  <c r="J59" s="1"/>
  <c r="I59"/>
  <c r="J59" i="29"/>
  <c r="I59"/>
  <c r="D61" s="1"/>
  <c r="B61" s="1"/>
  <c r="I59" i="27"/>
  <c r="J55"/>
  <c r="D56"/>
  <c r="B56" s="1"/>
  <c r="D55" i="26"/>
  <c r="H59" i="30" l="1"/>
  <c r="D61"/>
  <c r="B61" s="1"/>
  <c r="N60"/>
  <c r="I60"/>
  <c r="J60"/>
  <c r="J60" i="21"/>
  <c r="I60"/>
  <c r="I60" i="1"/>
  <c r="D61"/>
  <c r="B61" s="1"/>
  <c r="N60"/>
  <c r="J60" s="1"/>
  <c r="J60" i="29"/>
  <c r="I60"/>
  <c r="I60" i="27"/>
  <c r="J56"/>
  <c r="B55" i="26"/>
  <c r="I61" i="30" l="1"/>
  <c r="H60"/>
  <c r="N61"/>
  <c r="J61"/>
  <c r="I61" i="21"/>
  <c r="D62"/>
  <c r="B62" s="1"/>
  <c r="J61"/>
  <c r="N61" i="1"/>
  <c r="J61" s="1"/>
  <c r="I61"/>
  <c r="I61" i="29"/>
  <c r="D63" s="1"/>
  <c r="B63" s="1"/>
  <c r="J61"/>
  <c r="J57" i="27"/>
  <c r="I61"/>
  <c r="D58"/>
  <c r="B58" s="1"/>
  <c r="D57" i="26"/>
  <c r="N62" i="30" l="1"/>
  <c r="I62"/>
  <c r="D63"/>
  <c r="B63" s="1"/>
  <c r="H61"/>
  <c r="J62"/>
  <c r="J62" i="21"/>
  <c r="I62"/>
  <c r="I62" i="1"/>
  <c r="D63"/>
  <c r="B63" s="1"/>
  <c r="N62"/>
  <c r="J62" s="1"/>
  <c r="J62" i="29"/>
  <c r="I62"/>
  <c r="I62" i="27"/>
  <c r="J58"/>
  <c r="B57" i="26"/>
  <c r="N63" i="30" l="1"/>
  <c r="J63" s="1"/>
  <c r="H62"/>
  <c r="I63"/>
  <c r="I63" i="21"/>
  <c r="D64"/>
  <c r="B64" s="1"/>
  <c r="J63"/>
  <c r="N63" i="1"/>
  <c r="J63" s="1"/>
  <c r="I63"/>
  <c r="J63" i="29"/>
  <c r="I63"/>
  <c r="D65" s="1"/>
  <c r="B65" s="1"/>
  <c r="I63" i="27"/>
  <c r="J59"/>
  <c r="D60"/>
  <c r="B60" s="1"/>
  <c r="D59" i="26"/>
  <c r="H63" i="30" l="1"/>
  <c r="D65"/>
  <c r="B65" s="1"/>
  <c r="N64"/>
  <c r="I64"/>
  <c r="J64"/>
  <c r="J64" i="21"/>
  <c r="I64"/>
  <c r="I64" i="1"/>
  <c r="D65"/>
  <c r="B65" s="1"/>
  <c r="N64"/>
  <c r="J64" s="1"/>
  <c r="I64" i="29"/>
  <c r="J64"/>
  <c r="J60" i="27"/>
  <c r="I64"/>
  <c r="B59" i="26"/>
  <c r="J65" i="30" l="1"/>
  <c r="N65"/>
  <c r="H64"/>
  <c r="I65"/>
  <c r="I65" i="21"/>
  <c r="D66"/>
  <c r="B66" s="1"/>
  <c r="J65"/>
  <c r="J65" i="1"/>
  <c r="N65"/>
  <c r="I65"/>
  <c r="I65" i="29"/>
  <c r="J65"/>
  <c r="I65" i="27"/>
  <c r="J61"/>
  <c r="D62"/>
  <c r="B62" s="1"/>
  <c r="D61" i="26"/>
  <c r="N66" i="30" l="1"/>
  <c r="I66"/>
  <c r="D67"/>
  <c r="B67" s="1"/>
  <c r="H65"/>
  <c r="J66"/>
  <c r="J66" i="21"/>
  <c r="I66"/>
  <c r="I66" i="1"/>
  <c r="D67"/>
  <c r="B67" s="1"/>
  <c r="N66"/>
  <c r="J66" s="1"/>
  <c r="J66" i="29"/>
  <c r="I66"/>
  <c r="D67"/>
  <c r="B67" s="1"/>
  <c r="J62" i="27"/>
  <c r="I66"/>
  <c r="B61" i="26"/>
  <c r="N67" i="30" l="1"/>
  <c r="J67" s="1"/>
  <c r="H66"/>
  <c r="I67"/>
  <c r="J67" i="21"/>
  <c r="D68"/>
  <c r="B68" s="1"/>
  <c r="I67"/>
  <c r="I67" i="1"/>
  <c r="N67"/>
  <c r="J67" s="1"/>
  <c r="J67" i="29"/>
  <c r="I67"/>
  <c r="D69" s="1"/>
  <c r="B69" s="1"/>
  <c r="I67" i="27"/>
  <c r="J63"/>
  <c r="D64"/>
  <c r="B64" s="1"/>
  <c r="D63" i="26"/>
  <c r="H67" i="30" l="1"/>
  <c r="D69"/>
  <c r="B69" s="1"/>
  <c r="N68"/>
  <c r="I68"/>
  <c r="J68"/>
  <c r="J68" i="21"/>
  <c r="I68"/>
  <c r="N68" i="1"/>
  <c r="J68" s="1"/>
  <c r="I68"/>
  <c r="D69"/>
  <c r="B69" s="1"/>
  <c r="I68" i="29"/>
  <c r="J68"/>
  <c r="I68" i="27"/>
  <c r="J64"/>
  <c r="B63" i="26"/>
  <c r="J69" i="30" l="1"/>
  <c r="I69"/>
  <c r="N69"/>
  <c r="H68"/>
  <c r="J69" i="21"/>
  <c r="D70"/>
  <c r="B70" s="1"/>
  <c r="I69"/>
  <c r="N69" i="1"/>
  <c r="J69" s="1"/>
  <c r="I69"/>
  <c r="I69" i="29"/>
  <c r="D71" s="1"/>
  <c r="B71" s="1"/>
  <c r="J69"/>
  <c r="J65" i="27"/>
  <c r="I69"/>
  <c r="D66"/>
  <c r="B66" s="1"/>
  <c r="D65" i="26"/>
  <c r="N70" i="30" l="1"/>
  <c r="I70"/>
  <c r="D71"/>
  <c r="B71" s="1"/>
  <c r="H69"/>
  <c r="J70"/>
  <c r="J70" i="21"/>
  <c r="I70"/>
  <c r="I70" i="1"/>
  <c r="N70"/>
  <c r="J70" s="1"/>
  <c r="D71"/>
  <c r="B71" s="1"/>
  <c r="J70" i="29"/>
  <c r="I70"/>
  <c r="I70" i="27"/>
  <c r="J66"/>
  <c r="B65" i="26"/>
  <c r="N71" i="30" l="1"/>
  <c r="J71" s="1"/>
  <c r="H70"/>
  <c r="I71"/>
  <c r="I71" i="21"/>
  <c r="D72"/>
  <c r="B72" s="1"/>
  <c r="J71"/>
  <c r="N71" i="1"/>
  <c r="J71" s="1"/>
  <c r="I71"/>
  <c r="J71" i="29"/>
  <c r="I71"/>
  <c r="D73" s="1"/>
  <c r="B73" s="1"/>
  <c r="I71" i="27"/>
  <c r="J67"/>
  <c r="D68"/>
  <c r="B68" s="1"/>
  <c r="D67" i="26"/>
  <c r="H71" i="30" l="1"/>
  <c r="D73"/>
  <c r="B73" s="1"/>
  <c r="N72"/>
  <c r="I72"/>
  <c r="J72"/>
  <c r="J72" i="21"/>
  <c r="I72"/>
  <c r="I72" i="1"/>
  <c r="D73"/>
  <c r="B73" s="1"/>
  <c r="N72"/>
  <c r="J72" s="1"/>
  <c r="J72" i="29"/>
  <c r="I72"/>
  <c r="J68" i="27"/>
  <c r="I72"/>
  <c r="B67" i="26"/>
  <c r="N73" i="30" l="1"/>
  <c r="H72"/>
  <c r="I73"/>
  <c r="J73"/>
  <c r="I73" i="21"/>
  <c r="D74"/>
  <c r="B74" s="1"/>
  <c r="J73"/>
  <c r="N73" i="1"/>
  <c r="J73" s="1"/>
  <c r="I73"/>
  <c r="I73" i="29"/>
  <c r="J73"/>
  <c r="I73" i="27"/>
  <c r="J69"/>
  <c r="D70"/>
  <c r="B70" s="1"/>
  <c r="D69" i="26"/>
  <c r="N74" i="30" l="1"/>
  <c r="I74"/>
  <c r="H73"/>
  <c r="D75"/>
  <c r="B75" s="1"/>
  <c r="J74"/>
  <c r="J74" i="21"/>
  <c r="I74"/>
  <c r="I74" i="1"/>
  <c r="D75"/>
  <c r="B75" s="1"/>
  <c r="N74"/>
  <c r="J74" s="1"/>
  <c r="J74" i="29"/>
  <c r="I74"/>
  <c r="D75"/>
  <c r="B75" s="1"/>
  <c r="J70" i="27"/>
  <c r="I74"/>
  <c r="B69" i="26"/>
  <c r="N75" i="30" l="1"/>
  <c r="J75" s="1"/>
  <c r="H74"/>
  <c r="I75"/>
  <c r="I75" i="21"/>
  <c r="D76"/>
  <c r="B76" s="1"/>
  <c r="J75"/>
  <c r="N75" i="1"/>
  <c r="J75" s="1"/>
  <c r="I75"/>
  <c r="J75" i="29"/>
  <c r="I75"/>
  <c r="J71" i="27"/>
  <c r="I75"/>
  <c r="D72"/>
  <c r="B72" s="1"/>
  <c r="D71" i="26"/>
  <c r="H75" i="30" l="1"/>
  <c r="D77"/>
  <c r="B77" s="1"/>
  <c r="I76"/>
  <c r="N76"/>
  <c r="J76" s="1"/>
  <c r="J76" i="21"/>
  <c r="I76"/>
  <c r="I76" i="1"/>
  <c r="N76"/>
  <c r="J76" s="1"/>
  <c r="D77"/>
  <c r="B77" s="1"/>
  <c r="J76" i="29"/>
  <c r="I76"/>
  <c r="D77"/>
  <c r="B77" s="1"/>
  <c r="J72" i="27"/>
  <c r="I76"/>
  <c r="B71" i="26"/>
  <c r="J77" i="30" l="1"/>
  <c r="I77"/>
  <c r="N77"/>
  <c r="H76"/>
  <c r="J77" i="21"/>
  <c r="I77"/>
  <c r="D78"/>
  <c r="B78" s="1"/>
  <c r="N77" i="1"/>
  <c r="J77" s="1"/>
  <c r="I77"/>
  <c r="I77" i="29"/>
  <c r="D79" s="1"/>
  <c r="B79" s="1"/>
  <c r="J77"/>
  <c r="I77" i="27"/>
  <c r="J73"/>
  <c r="D74"/>
  <c r="B74" s="1"/>
  <c r="D73" i="26"/>
  <c r="N78" i="30" l="1"/>
  <c r="I78"/>
  <c r="D79"/>
  <c r="B79" s="1"/>
  <c r="H77"/>
  <c r="J78"/>
  <c r="J78" i="21"/>
  <c r="I78"/>
  <c r="I78" i="1"/>
  <c r="N78"/>
  <c r="J78" s="1"/>
  <c r="D79"/>
  <c r="B79" s="1"/>
  <c r="J78" i="29"/>
  <c r="I78"/>
  <c r="I78" i="27"/>
  <c r="J74"/>
  <c r="B73" i="26"/>
  <c r="N79" i="30" l="1"/>
  <c r="H78"/>
  <c r="I79"/>
  <c r="J79"/>
  <c r="I79" i="21"/>
  <c r="D80"/>
  <c r="B80" s="1"/>
  <c r="J79"/>
  <c r="N79" i="1"/>
  <c r="J79" s="1"/>
  <c r="I79"/>
  <c r="J79" i="29"/>
  <c r="I79"/>
  <c r="D81" s="1"/>
  <c r="B81" s="1"/>
  <c r="J75" i="27"/>
  <c r="I79"/>
  <c r="D76"/>
  <c r="B76" s="1"/>
  <c r="D75" i="26"/>
  <c r="H79" i="30" l="1"/>
  <c r="D81"/>
  <c r="B81" s="1"/>
  <c r="N80"/>
  <c r="I80"/>
  <c r="J80"/>
  <c r="J80" i="21"/>
  <c r="I80"/>
  <c r="I80" i="1"/>
  <c r="D81"/>
  <c r="B81" s="1"/>
  <c r="N80"/>
  <c r="J80" s="1"/>
  <c r="J80" i="29"/>
  <c r="I80"/>
  <c r="J76" i="27"/>
  <c r="I80"/>
  <c r="B75" i="26"/>
  <c r="J81" i="30" l="1"/>
  <c r="N81"/>
  <c r="H80"/>
  <c r="I81"/>
  <c r="I81" i="21"/>
  <c r="D82"/>
  <c r="B82" s="1"/>
  <c r="J81"/>
  <c r="N81" i="1"/>
  <c r="J81" s="1"/>
  <c r="I81"/>
  <c r="I81" i="29"/>
  <c r="D83" s="1"/>
  <c r="B83" s="1"/>
  <c r="J81"/>
  <c r="I81" i="27"/>
  <c r="J77"/>
  <c r="D78"/>
  <c r="B78" s="1"/>
  <c r="D77" i="26"/>
  <c r="N82" i="30" l="1"/>
  <c r="I82"/>
  <c r="H81"/>
  <c r="D83"/>
  <c r="B83" s="1"/>
  <c r="J82"/>
  <c r="J82" i="21"/>
  <c r="I82"/>
  <c r="I82" i="1"/>
  <c r="D83"/>
  <c r="B83" s="1"/>
  <c r="N82"/>
  <c r="J82" s="1"/>
  <c r="J82" i="29"/>
  <c r="I82"/>
  <c r="I82" i="27"/>
  <c r="J78"/>
  <c r="B77" i="26"/>
  <c r="N83" i="30" l="1"/>
  <c r="J83" s="1"/>
  <c r="H82"/>
  <c r="I83"/>
  <c r="I83" i="21"/>
  <c r="D84"/>
  <c r="B84" s="1"/>
  <c r="J83"/>
  <c r="N83" i="1"/>
  <c r="J83" s="1"/>
  <c r="I83"/>
  <c r="J83" i="29"/>
  <c r="I83"/>
  <c r="D85" s="1"/>
  <c r="B85" s="1"/>
  <c r="I83" i="27"/>
  <c r="J79"/>
  <c r="D80"/>
  <c r="B80" s="1"/>
  <c r="D79" i="26"/>
  <c r="H83" i="30" l="1"/>
  <c r="D85"/>
  <c r="B85" s="1"/>
  <c r="N84"/>
  <c r="I84"/>
  <c r="J84"/>
  <c r="J84" i="21"/>
  <c r="I84"/>
  <c r="I84" i="1"/>
  <c r="N84"/>
  <c r="J84" s="1"/>
  <c r="D85"/>
  <c r="B85" s="1"/>
  <c r="J84" i="29"/>
  <c r="I84"/>
  <c r="J80" i="27"/>
  <c r="I84"/>
  <c r="B79" i="26"/>
  <c r="I85" i="30" l="1"/>
  <c r="N85"/>
  <c r="J85" s="1"/>
  <c r="H84"/>
  <c r="I85" i="21"/>
  <c r="D86"/>
  <c r="B86" s="1"/>
  <c r="J85"/>
  <c r="N85" i="1"/>
  <c r="J85" s="1"/>
  <c r="I85"/>
  <c r="I85" i="29"/>
  <c r="D87" s="1"/>
  <c r="B87" s="1"/>
  <c r="J85"/>
  <c r="I85" i="27"/>
  <c r="J81"/>
  <c r="D82"/>
  <c r="B82" s="1"/>
  <c r="D81" i="26"/>
  <c r="N86" i="30" l="1"/>
  <c r="I86"/>
  <c r="D87"/>
  <c r="B87" s="1"/>
  <c r="H85"/>
  <c r="J86"/>
  <c r="J86" i="21"/>
  <c r="I86"/>
  <c r="I86" i="1"/>
  <c r="N86"/>
  <c r="J86" s="1"/>
  <c r="D87"/>
  <c r="B87" s="1"/>
  <c r="J86" i="29"/>
  <c r="I86"/>
  <c r="J82" i="27"/>
  <c r="I86"/>
  <c r="B81" i="26"/>
  <c r="N87" i="30" l="1"/>
  <c r="J87" s="1"/>
  <c r="H86"/>
  <c r="I87"/>
  <c r="I87" i="21"/>
  <c r="D88"/>
  <c r="B88" s="1"/>
  <c r="J87"/>
  <c r="N87" i="1"/>
  <c r="J87" s="1"/>
  <c r="I87"/>
  <c r="J87" i="29"/>
  <c r="I87"/>
  <c r="I87" i="27"/>
  <c r="J83"/>
  <c r="D84"/>
  <c r="B84" s="1"/>
  <c r="D83" i="26"/>
  <c r="H87" i="30" l="1"/>
  <c r="D89"/>
  <c r="B89" s="1"/>
  <c r="N88"/>
  <c r="I88"/>
  <c r="J88"/>
  <c r="J88" i="21"/>
  <c r="I88"/>
  <c r="I88" i="1"/>
  <c r="D89"/>
  <c r="B89" s="1"/>
  <c r="N88"/>
  <c r="J88" s="1"/>
  <c r="J88" i="29"/>
  <c r="I88"/>
  <c r="D89"/>
  <c r="B89" s="1"/>
  <c r="I88" i="27"/>
  <c r="J84"/>
  <c r="B83" i="26"/>
  <c r="J89" i="30" l="1"/>
  <c r="N89"/>
  <c r="H88"/>
  <c r="I89"/>
  <c r="I89" i="21"/>
  <c r="D90"/>
  <c r="B90" s="1"/>
  <c r="J89"/>
  <c r="N89" i="1"/>
  <c r="J89" s="1"/>
  <c r="I89"/>
  <c r="I89" i="29"/>
  <c r="D91" s="1"/>
  <c r="B91" s="1"/>
  <c r="J89"/>
  <c r="J85" i="27"/>
  <c r="I89"/>
  <c r="D86"/>
  <c r="B86" s="1"/>
  <c r="D85" i="26"/>
  <c r="N90" i="30" l="1"/>
  <c r="I90"/>
  <c r="H89"/>
  <c r="D91"/>
  <c r="B91" s="1"/>
  <c r="J90"/>
  <c r="J90" i="21"/>
  <c r="I90"/>
  <c r="I90" i="1"/>
  <c r="D91"/>
  <c r="B91" s="1"/>
  <c r="N90"/>
  <c r="J90" s="1"/>
  <c r="J90" i="29"/>
  <c r="I90"/>
  <c r="J86" i="27"/>
  <c r="I90"/>
  <c r="B85" i="26"/>
  <c r="N91" i="30" l="1"/>
  <c r="J91" s="1"/>
  <c r="H90"/>
  <c r="I91"/>
  <c r="I91" i="21"/>
  <c r="D92"/>
  <c r="B92" s="1"/>
  <c r="J91"/>
  <c r="J91" i="1"/>
  <c r="N91"/>
  <c r="I91"/>
  <c r="J91" i="29"/>
  <c r="I91"/>
  <c r="D93" s="1"/>
  <c r="B93" s="1"/>
  <c r="J87" i="27"/>
  <c r="I91"/>
  <c r="D88"/>
  <c r="B88" s="1"/>
  <c r="D87" i="26"/>
  <c r="H91" i="30" l="1"/>
  <c r="D93"/>
  <c r="B93" s="1"/>
  <c r="N92"/>
  <c r="J92" s="1"/>
  <c r="I92"/>
  <c r="J92" i="21"/>
  <c r="I92"/>
  <c r="I92" i="1"/>
  <c r="N92"/>
  <c r="J92" s="1"/>
  <c r="D93"/>
  <c r="B93" s="1"/>
  <c r="J92" i="29"/>
  <c r="I92"/>
  <c r="I92" i="27"/>
  <c r="J88"/>
  <c r="B87" i="26"/>
  <c r="I93" i="30" l="1"/>
  <c r="N93"/>
  <c r="H92"/>
  <c r="J93"/>
  <c r="I93" i="21"/>
  <c r="D94"/>
  <c r="B94" s="1"/>
  <c r="J93"/>
  <c r="N93" i="1"/>
  <c r="J93" s="1"/>
  <c r="I93"/>
  <c r="I93" i="29"/>
  <c r="J93"/>
  <c r="I93" i="27"/>
  <c r="J89"/>
  <c r="D90"/>
  <c r="B90" s="1"/>
  <c r="D89" i="26"/>
  <c r="N94" i="30" l="1"/>
  <c r="J94" s="1"/>
  <c r="I94"/>
  <c r="D95"/>
  <c r="B95" s="1"/>
  <c r="H93"/>
  <c r="J94" i="21"/>
  <c r="I94"/>
  <c r="I94" i="1"/>
  <c r="N94"/>
  <c r="J94" s="1"/>
  <c r="D95"/>
  <c r="B95" s="1"/>
  <c r="J94" i="29"/>
  <c r="I94"/>
  <c r="D95"/>
  <c r="B95" s="1"/>
  <c r="J90" i="27"/>
  <c r="I94"/>
  <c r="B89" i="26"/>
  <c r="J95" i="30" l="1"/>
  <c r="N95"/>
  <c r="H94"/>
  <c r="I95"/>
  <c r="I95" i="21"/>
  <c r="D96"/>
  <c r="B96" s="1"/>
  <c r="J95"/>
  <c r="N95" i="1"/>
  <c r="J95" s="1"/>
  <c r="I95"/>
  <c r="J95" i="29"/>
  <c r="I95"/>
  <c r="D97" s="1"/>
  <c r="B97" s="1"/>
  <c r="I95" i="27"/>
  <c r="J91"/>
  <c r="D92"/>
  <c r="B92" s="1"/>
  <c r="D91" i="26"/>
  <c r="H95" i="30" l="1"/>
  <c r="D97"/>
  <c r="B97" s="1"/>
  <c r="I96"/>
  <c r="N96"/>
  <c r="J96" s="1"/>
  <c r="J96" i="21"/>
  <c r="I96"/>
  <c r="I96" i="1"/>
  <c r="D97"/>
  <c r="B97" s="1"/>
  <c r="N96"/>
  <c r="J96" s="1"/>
  <c r="J96" i="29"/>
  <c r="I96"/>
  <c r="I96" i="27"/>
  <c r="J92"/>
  <c r="B91" i="26"/>
  <c r="J97" i="30" l="1"/>
  <c r="N97"/>
  <c r="H96"/>
  <c r="I97"/>
  <c r="I97" i="21"/>
  <c r="D98"/>
  <c r="B98" s="1"/>
  <c r="J97"/>
  <c r="N97" i="1"/>
  <c r="J97" s="1"/>
  <c r="I97"/>
  <c r="I97" i="29"/>
  <c r="D99" s="1"/>
  <c r="B99" s="1"/>
  <c r="J97"/>
  <c r="J93" i="27"/>
  <c r="I97"/>
  <c r="D94"/>
  <c r="B94" s="1"/>
  <c r="D93" i="26"/>
  <c r="J98" i="30" l="1"/>
  <c r="N98"/>
  <c r="I98"/>
  <c r="H97"/>
  <c r="D99"/>
  <c r="B99" s="1"/>
  <c r="J98" i="21"/>
  <c r="I98"/>
  <c r="I98" i="1"/>
  <c r="D99"/>
  <c r="B99" s="1"/>
  <c r="N98"/>
  <c r="J98" s="1"/>
  <c r="J98" i="29"/>
  <c r="I98"/>
  <c r="J94" i="27"/>
  <c r="I98"/>
  <c r="B93" i="26"/>
  <c r="N99" i="30" l="1"/>
  <c r="J99" s="1"/>
  <c r="H98"/>
  <c r="I99"/>
  <c r="I99" i="21"/>
  <c r="D100"/>
  <c r="B100" s="1"/>
  <c r="J99"/>
  <c r="J99" i="1"/>
  <c r="N99"/>
  <c r="I99"/>
  <c r="J99" i="29"/>
  <c r="I99"/>
  <c r="I99" i="27"/>
  <c r="J95"/>
  <c r="D96"/>
  <c r="B96" s="1"/>
  <c r="D95" i="26"/>
  <c r="H99" i="30" l="1"/>
  <c r="D101"/>
  <c r="B101" s="1"/>
  <c r="I100"/>
  <c r="N100"/>
  <c r="J100" s="1"/>
  <c r="J100" i="21"/>
  <c r="I100"/>
  <c r="I100" i="1"/>
  <c r="N100"/>
  <c r="J100" s="1"/>
  <c r="D101"/>
  <c r="B101" s="1"/>
  <c r="J100" i="29"/>
  <c r="I100"/>
  <c r="D101"/>
  <c r="B101" s="1"/>
  <c r="J96" i="27"/>
  <c r="I100"/>
  <c r="B95" i="26"/>
  <c r="I101" i="30" l="1"/>
  <c r="N101"/>
  <c r="J101" s="1"/>
  <c r="H100"/>
  <c r="I101" i="21"/>
  <c r="D102"/>
  <c r="B102" s="1"/>
  <c r="J101"/>
  <c r="N101" i="1"/>
  <c r="J101" s="1"/>
  <c r="I101"/>
  <c r="I101" i="29"/>
  <c r="D103" s="1"/>
  <c r="B103" s="1"/>
  <c r="J101"/>
  <c r="I101" i="27"/>
  <c r="J97"/>
  <c r="D98"/>
  <c r="B98" s="1"/>
  <c r="D97" i="26"/>
  <c r="J102" i="30" l="1"/>
  <c r="N102"/>
  <c r="I102"/>
  <c r="D103"/>
  <c r="B103" s="1"/>
  <c r="H101"/>
  <c r="J102" i="21"/>
  <c r="I102"/>
  <c r="I102" i="1"/>
  <c r="N102"/>
  <c r="J102" s="1"/>
  <c r="D103"/>
  <c r="B103" s="1"/>
  <c r="J102" i="29"/>
  <c r="I102"/>
  <c r="I102" i="27"/>
  <c r="J98"/>
  <c r="B97" i="26"/>
  <c r="J103" i="30" l="1"/>
  <c r="N103"/>
  <c r="H102"/>
  <c r="I103"/>
  <c r="I103" i="21"/>
  <c r="D104"/>
  <c r="B104" s="1"/>
  <c r="J103"/>
  <c r="N103" i="1"/>
  <c r="J103" s="1"/>
  <c r="I103"/>
  <c r="J103" i="29"/>
  <c r="I103"/>
  <c r="D105" s="1"/>
  <c r="B105" s="1"/>
  <c r="J99" i="27"/>
  <c r="I103"/>
  <c r="D100"/>
  <c r="B100" s="1"/>
  <c r="D99" i="26"/>
  <c r="J104" i="30" l="1"/>
  <c r="H103"/>
  <c r="D105"/>
  <c r="B105" s="1"/>
  <c r="N104"/>
  <c r="I104"/>
  <c r="J104" i="21"/>
  <c r="I104"/>
  <c r="I104" i="1"/>
  <c r="D105"/>
  <c r="B105" s="1"/>
  <c r="N104"/>
  <c r="J104" s="1"/>
  <c r="J104" i="29"/>
  <c r="I104"/>
  <c r="I104" i="27"/>
  <c r="J100"/>
  <c r="B99" i="26"/>
  <c r="N105" i="30" l="1"/>
  <c r="J105" s="1"/>
  <c r="H104"/>
  <c r="I105"/>
  <c r="I105" i="21"/>
  <c r="D106"/>
  <c r="B106" s="1"/>
  <c r="J105"/>
  <c r="N105" i="1"/>
  <c r="J105" s="1"/>
  <c r="I105"/>
  <c r="I105" i="29"/>
  <c r="J105"/>
  <c r="I105" i="27"/>
  <c r="J101"/>
  <c r="D102"/>
  <c r="B102" s="1"/>
  <c r="D101" i="26"/>
  <c r="J106" i="30" l="1"/>
  <c r="N106"/>
  <c r="I106"/>
  <c r="H105"/>
  <c r="D107"/>
  <c r="B107" s="1"/>
  <c r="J106" i="21"/>
  <c r="I106"/>
  <c r="I106" i="1"/>
  <c r="D107"/>
  <c r="B107" s="1"/>
  <c r="N106"/>
  <c r="J106" s="1"/>
  <c r="J106" i="29"/>
  <c r="I106"/>
  <c r="D107"/>
  <c r="B107" s="1"/>
  <c r="I106" i="27"/>
  <c r="J102"/>
  <c r="B101" i="26"/>
  <c r="J107" i="30" l="1"/>
  <c r="N107"/>
  <c r="H106"/>
  <c r="I107"/>
  <c r="I107" i="21"/>
  <c r="D108"/>
  <c r="B108" s="1"/>
  <c r="J107"/>
  <c r="N107" i="1"/>
  <c r="J107" s="1"/>
  <c r="I107"/>
  <c r="J107" i="29"/>
  <c r="I107"/>
  <c r="D109" s="1"/>
  <c r="B109" s="1"/>
  <c r="J103" i="27"/>
  <c r="I107"/>
  <c r="D104"/>
  <c r="B104" s="1"/>
  <c r="D103" i="26"/>
  <c r="H107" i="30" l="1"/>
  <c r="D109"/>
  <c r="B109" s="1"/>
  <c r="I108"/>
  <c r="N108"/>
  <c r="J108" s="1"/>
  <c r="J108" i="21"/>
  <c r="I108"/>
  <c r="I108" i="1"/>
  <c r="N108"/>
  <c r="J108" s="1"/>
  <c r="D109"/>
  <c r="B109" s="1"/>
  <c r="J108" i="29"/>
  <c r="I108"/>
  <c r="J104" i="27"/>
  <c r="I108"/>
  <c r="B103" i="26"/>
  <c r="J109" i="30" l="1"/>
  <c r="I109"/>
  <c r="N109"/>
  <c r="H108"/>
  <c r="I109" i="21"/>
  <c r="D110"/>
  <c r="B110" s="1"/>
  <c r="J109"/>
  <c r="N109" i="1"/>
  <c r="J109" s="1"/>
  <c r="I109"/>
  <c r="I109" i="29"/>
  <c r="D111" s="1"/>
  <c r="B111" s="1"/>
  <c r="J109"/>
  <c r="J105" i="27"/>
  <c r="I109"/>
  <c r="D106"/>
  <c r="B106" s="1"/>
  <c r="D105" i="26"/>
  <c r="N110" i="30" l="1"/>
  <c r="I110"/>
  <c r="D111"/>
  <c r="B111" s="1"/>
  <c r="H109"/>
  <c r="J110"/>
  <c r="J110" i="21"/>
  <c r="I110"/>
  <c r="I110" i="1"/>
  <c r="N110"/>
  <c r="J110" s="1"/>
  <c r="D111"/>
  <c r="B111" s="1"/>
  <c r="J110" i="29"/>
  <c r="I110"/>
  <c r="I110" i="27"/>
  <c r="J106"/>
  <c r="B105" i="26"/>
  <c r="N111" i="30" l="1"/>
  <c r="J111" s="1"/>
  <c r="H110"/>
  <c r="I111"/>
  <c r="I111" i="21"/>
  <c r="D112"/>
  <c r="B112" s="1"/>
  <c r="J111"/>
  <c r="N111" i="1"/>
  <c r="J111" s="1"/>
  <c r="I111"/>
  <c r="J111" i="29"/>
  <c r="I111"/>
  <c r="D113" s="1"/>
  <c r="B113" s="1"/>
  <c r="I111" i="27"/>
  <c r="J107"/>
  <c r="D108"/>
  <c r="B108" s="1"/>
  <c r="D107" i="26"/>
  <c r="J112" i="30" l="1"/>
  <c r="H111"/>
  <c r="D113"/>
  <c r="B113" s="1"/>
  <c r="N112"/>
  <c r="I112"/>
  <c r="J112" i="21"/>
  <c r="I112"/>
  <c r="I112" i="1"/>
  <c r="D113"/>
  <c r="B113" s="1"/>
  <c r="N112"/>
  <c r="J112" s="1"/>
  <c r="J112" i="29"/>
  <c r="I112"/>
  <c r="J108" i="27"/>
  <c r="I112"/>
  <c r="B107" i="26"/>
  <c r="J113" i="30" l="1"/>
  <c r="N113"/>
  <c r="H112"/>
  <c r="I113"/>
  <c r="I113" i="21"/>
  <c r="D114"/>
  <c r="B114" s="1"/>
  <c r="J113"/>
  <c r="N113" i="1"/>
  <c r="J113" s="1"/>
  <c r="I113"/>
  <c r="I113" i="29"/>
  <c r="D115" s="1"/>
  <c r="B115" s="1"/>
  <c r="J113"/>
  <c r="J109" i="27"/>
  <c r="I113"/>
  <c r="D110"/>
  <c r="B110" s="1"/>
  <c r="D109" i="26"/>
  <c r="N114" i="30" l="1"/>
  <c r="J114" s="1"/>
  <c r="I114"/>
  <c r="H113"/>
  <c r="D115"/>
  <c r="B115" s="1"/>
  <c r="J114" i="21"/>
  <c r="I114"/>
  <c r="I114" i="1"/>
  <c r="D115"/>
  <c r="B115" s="1"/>
  <c r="N114"/>
  <c r="J114" s="1"/>
  <c r="J114" i="29"/>
  <c r="I114"/>
  <c r="I114" i="27"/>
  <c r="J110"/>
  <c r="B109" i="26"/>
  <c r="J115" i="30" l="1"/>
  <c r="N115"/>
  <c r="H114"/>
  <c r="I115"/>
  <c r="I115" i="21"/>
  <c r="D116"/>
  <c r="B116" s="1"/>
  <c r="J115"/>
  <c r="J115" i="1"/>
  <c r="N115"/>
  <c r="I115"/>
  <c r="J115" i="29"/>
  <c r="I115"/>
  <c r="D117" s="1"/>
  <c r="B117" s="1"/>
  <c r="I115" i="27"/>
  <c r="J111"/>
  <c r="D112"/>
  <c r="B112" s="1"/>
  <c r="D111" i="26"/>
  <c r="H115" i="30" l="1"/>
  <c r="D117"/>
  <c r="B117" s="1"/>
  <c r="N116"/>
  <c r="I116"/>
  <c r="J116"/>
  <c r="J116" i="21"/>
  <c r="I116"/>
  <c r="I116" i="1"/>
  <c r="N116"/>
  <c r="J116" s="1"/>
  <c r="D117"/>
  <c r="B117" s="1"/>
  <c r="J116" i="29"/>
  <c r="I116"/>
  <c r="J112" i="27"/>
  <c r="I116"/>
  <c r="B111" i="26"/>
  <c r="I117" i="30" l="1"/>
  <c r="N117"/>
  <c r="J117" s="1"/>
  <c r="H116"/>
  <c r="I117" i="21"/>
  <c r="D118"/>
  <c r="B118" s="1"/>
  <c r="J117"/>
  <c r="N117" i="1"/>
  <c r="J117" s="1"/>
  <c r="I117"/>
  <c r="I117" i="29"/>
  <c r="D119" s="1"/>
  <c r="B119" s="1"/>
  <c r="J117"/>
  <c r="I117" i="27"/>
  <c r="J113"/>
  <c r="D114"/>
  <c r="B114" s="1"/>
  <c r="D113" i="26"/>
  <c r="J118" i="30" l="1"/>
  <c r="N118"/>
  <c r="I118"/>
  <c r="D119"/>
  <c r="B119" s="1"/>
  <c r="H117"/>
  <c r="J118" i="21"/>
  <c r="I118"/>
  <c r="I118" i="1"/>
  <c r="N118"/>
  <c r="J118" s="1"/>
  <c r="D119"/>
  <c r="B119" s="1"/>
  <c r="J118" i="29"/>
  <c r="I118"/>
  <c r="I118" i="27"/>
  <c r="J114"/>
  <c r="B113" i="26"/>
  <c r="J119" i="30" l="1"/>
  <c r="N119"/>
  <c r="H118"/>
  <c r="I119"/>
  <c r="I119" i="21"/>
  <c r="D120"/>
  <c r="B120" s="1"/>
  <c r="J119"/>
  <c r="N119" i="1"/>
  <c r="J119" s="1"/>
  <c r="I119"/>
  <c r="J119" i="29"/>
  <c r="I119"/>
  <c r="D121" s="1"/>
  <c r="B121" s="1"/>
  <c r="J115" i="27"/>
  <c r="I119"/>
  <c r="D116"/>
  <c r="B116" s="1"/>
  <c r="D115" i="26"/>
  <c r="H119" i="30" l="1"/>
  <c r="D121"/>
  <c r="B121" s="1"/>
  <c r="I120"/>
  <c r="N120"/>
  <c r="J120"/>
  <c r="J120" i="21"/>
  <c r="I120"/>
  <c r="I120" i="1"/>
  <c r="D121"/>
  <c r="B121" s="1"/>
  <c r="N120"/>
  <c r="J120" s="1"/>
  <c r="J120" i="29"/>
  <c r="I120"/>
  <c r="I120" i="27"/>
  <c r="J116"/>
  <c r="B115" i="26"/>
  <c r="N121" i="30" l="1"/>
  <c r="J121" s="1"/>
  <c r="H120"/>
  <c r="I121"/>
  <c r="I121" i="21"/>
  <c r="D122"/>
  <c r="B122" s="1"/>
  <c r="J121"/>
  <c r="N121" i="1"/>
  <c r="J121" s="1"/>
  <c r="I121"/>
  <c r="I121" i="29"/>
  <c r="D123" s="1"/>
  <c r="B123" s="1"/>
  <c r="J121"/>
  <c r="I121" i="27"/>
  <c r="J117"/>
  <c r="D118"/>
  <c r="B118" s="1"/>
  <c r="D117" i="26"/>
  <c r="J122" i="30" l="1"/>
  <c r="N122"/>
  <c r="I122"/>
  <c r="D123"/>
  <c r="B123" s="1"/>
  <c r="H121"/>
  <c r="J122" i="21"/>
  <c r="I122"/>
  <c r="I122" i="1"/>
  <c r="D123"/>
  <c r="B123" s="1"/>
  <c r="N122"/>
  <c r="J122" s="1"/>
  <c r="J122" i="29"/>
  <c r="I122"/>
  <c r="J118" i="27"/>
  <c r="I122"/>
  <c r="B117" i="26"/>
  <c r="N123" i="30" l="1"/>
  <c r="J123" s="1"/>
  <c r="H122"/>
  <c r="I123"/>
  <c r="I123" i="21"/>
  <c r="D124"/>
  <c r="B124" s="1"/>
  <c r="J123"/>
  <c r="N123" i="1"/>
  <c r="J123" s="1"/>
  <c r="I123"/>
  <c r="J123" i="29"/>
  <c r="I123"/>
  <c r="I123" i="27"/>
  <c r="J119"/>
  <c r="D120"/>
  <c r="B120" s="1"/>
  <c r="D119" i="26"/>
  <c r="J124" i="30" l="1"/>
  <c r="H123"/>
  <c r="D125"/>
  <c r="B125" s="1"/>
  <c r="N124"/>
  <c r="I124"/>
  <c r="J124" i="21"/>
  <c r="I124"/>
  <c r="I124" i="1"/>
  <c r="N124"/>
  <c r="J124" s="1"/>
  <c r="D125"/>
  <c r="B125" s="1"/>
  <c r="I124" i="29"/>
  <c r="J124"/>
  <c r="D125"/>
  <c r="B125" s="1"/>
  <c r="J120" i="27"/>
  <c r="I124"/>
  <c r="B119" i="26"/>
  <c r="J125" i="30" l="1"/>
  <c r="I125"/>
  <c r="N125"/>
  <c r="H124"/>
  <c r="I125" i="21"/>
  <c r="D126"/>
  <c r="B126" s="1"/>
  <c r="J125"/>
  <c r="N125" i="1"/>
  <c r="J125" s="1"/>
  <c r="I125"/>
  <c r="I125" i="29"/>
  <c r="J125"/>
  <c r="I125" i="27"/>
  <c r="J121"/>
  <c r="D122"/>
  <c r="B122" s="1"/>
  <c r="D121" i="26"/>
  <c r="N126" i="30" l="1"/>
  <c r="J126" s="1"/>
  <c r="I126"/>
  <c r="D127"/>
  <c r="B127" s="1"/>
  <c r="H125"/>
  <c r="J126" i="21"/>
  <c r="I126"/>
  <c r="J126" i="1"/>
  <c r="I126"/>
  <c r="N126"/>
  <c r="D127"/>
  <c r="B127" s="1"/>
  <c r="J126" i="29"/>
  <c r="I126"/>
  <c r="D127"/>
  <c r="B127" s="1"/>
  <c r="I126" i="27"/>
  <c r="J122"/>
  <c r="B121" i="26"/>
  <c r="J127" i="30" l="1"/>
  <c r="N127"/>
  <c r="H126"/>
  <c r="I127"/>
  <c r="I127" i="21"/>
  <c r="D128"/>
  <c r="B128" s="1"/>
  <c r="J127"/>
  <c r="N127" i="1"/>
  <c r="J127" s="1"/>
  <c r="I127"/>
  <c r="J127" i="29"/>
  <c r="I127"/>
  <c r="J123" i="27"/>
  <c r="I127"/>
  <c r="D124"/>
  <c r="B124" s="1"/>
  <c r="D123" i="26"/>
  <c r="H127" i="30" l="1"/>
  <c r="D129"/>
  <c r="B129" s="1"/>
  <c r="N128"/>
  <c r="I128"/>
  <c r="J128"/>
  <c r="J128" i="21"/>
  <c r="I128"/>
  <c r="I128" i="1"/>
  <c r="D129"/>
  <c r="B129" s="1"/>
  <c r="N128"/>
  <c r="J128" s="1"/>
  <c r="I128" i="29"/>
  <c r="J128"/>
  <c r="D129"/>
  <c r="B129" s="1"/>
  <c r="I128" i="27"/>
  <c r="J124"/>
  <c r="B123" i="26"/>
  <c r="J129" i="30" l="1"/>
  <c r="N129"/>
  <c r="H128"/>
  <c r="I129"/>
  <c r="I129" i="21"/>
  <c r="D130"/>
  <c r="B130" s="1"/>
  <c r="J129"/>
  <c r="N129" i="1"/>
  <c r="J129" s="1"/>
  <c r="I129"/>
  <c r="I129" i="29"/>
  <c r="J129"/>
  <c r="J125" i="27"/>
  <c r="I129"/>
  <c r="D126"/>
  <c r="B126" s="1"/>
  <c r="D125" i="26"/>
  <c r="J130" i="30" l="1"/>
  <c r="N130"/>
  <c r="I130"/>
  <c r="D131"/>
  <c r="B131" s="1"/>
  <c r="H129"/>
  <c r="J130" i="21"/>
  <c r="I130"/>
  <c r="I130" i="1"/>
  <c r="D131"/>
  <c r="B131" s="1"/>
  <c r="N130"/>
  <c r="J130" s="1"/>
  <c r="J130" i="29"/>
  <c r="I130"/>
  <c r="D131"/>
  <c r="B131" s="1"/>
  <c r="I130" i="27"/>
  <c r="J126"/>
  <c r="B125" i="26"/>
  <c r="J131" i="30" l="1"/>
  <c r="N131"/>
  <c r="H130"/>
  <c r="I131"/>
  <c r="I131" i="21"/>
  <c r="D132"/>
  <c r="B132" s="1"/>
  <c r="J131"/>
  <c r="J131" i="1"/>
  <c r="N131"/>
  <c r="I131"/>
  <c r="J131" i="29"/>
  <c r="I131"/>
  <c r="I131" i="27"/>
  <c r="J127"/>
  <c r="D128"/>
  <c r="B128" s="1"/>
  <c r="D127" i="26"/>
  <c r="H131" i="30" l="1"/>
  <c r="D133"/>
  <c r="B133" s="1"/>
  <c r="N132"/>
  <c r="I132"/>
  <c r="J132"/>
  <c r="J132" i="21"/>
  <c r="I132"/>
  <c r="I132" i="1"/>
  <c r="N132"/>
  <c r="J132" s="1"/>
  <c r="D133"/>
  <c r="B133" s="1"/>
  <c r="I132" i="29"/>
  <c r="J132"/>
  <c r="D133"/>
  <c r="B133" s="1"/>
  <c r="J128" i="27"/>
  <c r="I132"/>
  <c r="B127" i="26"/>
  <c r="I133" i="30" l="1"/>
  <c r="N133"/>
  <c r="J133" s="1"/>
  <c r="H132"/>
  <c r="I133" i="21"/>
  <c r="D134"/>
  <c r="B134" s="1"/>
  <c r="J133"/>
  <c r="N133" i="1"/>
  <c r="J133" s="1"/>
  <c r="I133"/>
  <c r="I133" i="29"/>
  <c r="J133"/>
  <c r="I133" i="27"/>
  <c r="J129"/>
  <c r="D130"/>
  <c r="B130" s="1"/>
  <c r="D129" i="26"/>
  <c r="J134" i="30" l="1"/>
  <c r="N134"/>
  <c r="I134"/>
  <c r="D135"/>
  <c r="B135" s="1"/>
  <c r="H133"/>
  <c r="J134" i="21"/>
  <c r="I134"/>
  <c r="I134" i="1"/>
  <c r="N134"/>
  <c r="J134" s="1"/>
  <c r="D135"/>
  <c r="B135" s="1"/>
  <c r="J134" i="29"/>
  <c r="I134"/>
  <c r="D135"/>
  <c r="B135" s="1"/>
  <c r="I134" i="27"/>
  <c r="J130"/>
  <c r="B129" i="26"/>
  <c r="N135" i="30" l="1"/>
  <c r="J135" s="1"/>
  <c r="H134"/>
  <c r="I135"/>
  <c r="I135" i="21"/>
  <c r="D136"/>
  <c r="B136" s="1"/>
  <c r="J135"/>
  <c r="N135" i="1"/>
  <c r="J135" s="1"/>
  <c r="I135"/>
  <c r="J135" i="29"/>
  <c r="I135"/>
  <c r="D137" s="1"/>
  <c r="B137" s="1"/>
  <c r="J131" i="27"/>
  <c r="I135"/>
  <c r="D132"/>
  <c r="B132" s="1"/>
  <c r="D131" i="26"/>
  <c r="H135" i="30" l="1"/>
  <c r="D137"/>
  <c r="B137" s="1"/>
  <c r="I136"/>
  <c r="N136"/>
  <c r="J136" s="1"/>
  <c r="J136" i="21"/>
  <c r="I136"/>
  <c r="I136" i="1"/>
  <c r="D137"/>
  <c r="B137" s="1"/>
  <c r="N136"/>
  <c r="J136" s="1"/>
  <c r="I136" i="29"/>
  <c r="J136"/>
  <c r="I136" i="27"/>
  <c r="J132"/>
  <c r="B131" i="26"/>
  <c r="J137" i="30" l="1"/>
  <c r="N137"/>
  <c r="H136"/>
  <c r="I137"/>
  <c r="I137" i="21"/>
  <c r="D138"/>
  <c r="B138" s="1"/>
  <c r="J137"/>
  <c r="N137" i="1"/>
  <c r="J137" s="1"/>
  <c r="I137"/>
  <c r="I137" i="29"/>
  <c r="J137"/>
  <c r="J133" i="27"/>
  <c r="I137"/>
  <c r="D134"/>
  <c r="B134" s="1"/>
  <c r="D133" i="26"/>
  <c r="J138" i="30" l="1"/>
  <c r="N138"/>
  <c r="I138"/>
  <c r="D139"/>
  <c r="B139" s="1"/>
  <c r="H137"/>
  <c r="J138" i="21"/>
  <c r="I138"/>
  <c r="I138" i="1"/>
  <c r="D139"/>
  <c r="B139" s="1"/>
  <c r="N138"/>
  <c r="J138" s="1"/>
  <c r="J138" i="29"/>
  <c r="I138"/>
  <c r="D139"/>
  <c r="B139" s="1"/>
  <c r="J134" i="27"/>
  <c r="I138"/>
  <c r="B133" i="26"/>
  <c r="N139" i="30" l="1"/>
  <c r="J139" s="1"/>
  <c r="H138"/>
  <c r="I139"/>
  <c r="I139" i="21"/>
  <c r="D140"/>
  <c r="B140" s="1"/>
  <c r="J139"/>
  <c r="N139" i="1"/>
  <c r="J139" s="1"/>
  <c r="I139"/>
  <c r="J139" i="29"/>
  <c r="I139"/>
  <c r="J135" i="27"/>
  <c r="I139"/>
  <c r="D136"/>
  <c r="B136" s="1"/>
  <c r="D135" i="26"/>
  <c r="H139" i="30" l="1"/>
  <c r="D141"/>
  <c r="B141" s="1"/>
  <c r="I140"/>
  <c r="N140"/>
  <c r="J140" s="1"/>
  <c r="J140" i="21"/>
  <c r="I140"/>
  <c r="I140" i="1"/>
  <c r="N140"/>
  <c r="J140" s="1"/>
  <c r="D141"/>
  <c r="B141" s="1"/>
  <c r="I140" i="29"/>
  <c r="J140"/>
  <c r="D141"/>
  <c r="B141" s="1"/>
  <c r="I140" i="27"/>
  <c r="J136"/>
  <c r="B135" i="26"/>
  <c r="J141" i="30" l="1"/>
  <c r="I141"/>
  <c r="N141"/>
  <c r="H140"/>
  <c r="J141" i="21"/>
  <c r="I141"/>
  <c r="D142"/>
  <c r="B142" s="1"/>
  <c r="N141" i="1"/>
  <c r="J141" s="1"/>
  <c r="I141"/>
  <c r="I141" i="29"/>
  <c r="D143" s="1"/>
  <c r="B143" s="1"/>
  <c r="J141"/>
  <c r="J137" i="27"/>
  <c r="I141"/>
  <c r="D138"/>
  <c r="B138" s="1"/>
  <c r="D137" i="26"/>
  <c r="N142" i="30" l="1"/>
  <c r="J142" s="1"/>
  <c r="I142"/>
  <c r="D143"/>
  <c r="B143" s="1"/>
  <c r="H141"/>
  <c r="J142" i="21"/>
  <c r="I142"/>
  <c r="I142" i="1"/>
  <c r="N142"/>
  <c r="J142" s="1"/>
  <c r="D143"/>
  <c r="B143" s="1"/>
  <c r="J142" i="29"/>
  <c r="I142"/>
  <c r="I142" i="27"/>
  <c r="J138"/>
  <c r="B137" i="26"/>
  <c r="J143" i="30" l="1"/>
  <c r="N143"/>
  <c r="H142"/>
  <c r="I143"/>
  <c r="I143" i="21"/>
  <c r="D144"/>
  <c r="B144" s="1"/>
  <c r="J143"/>
  <c r="N143" i="1"/>
  <c r="J143" s="1"/>
  <c r="I143"/>
  <c r="J143" i="29"/>
  <c r="I143"/>
  <c r="D145" s="1"/>
  <c r="B145" s="1"/>
  <c r="I143" i="27"/>
  <c r="J139"/>
  <c r="D140"/>
  <c r="B140" s="1"/>
  <c r="D139" i="26"/>
  <c r="J144" i="30" l="1"/>
  <c r="H143"/>
  <c r="D145"/>
  <c r="B145" s="1"/>
  <c r="N144"/>
  <c r="I144"/>
  <c r="J144" i="21"/>
  <c r="I144"/>
  <c r="I144" i="1"/>
  <c r="D145"/>
  <c r="B145" s="1"/>
  <c r="N144"/>
  <c r="J144" s="1"/>
  <c r="I144" i="29"/>
  <c r="J144"/>
  <c r="J140" i="27"/>
  <c r="I144"/>
  <c r="B139" i="26"/>
  <c r="J145" i="30" l="1"/>
  <c r="N145"/>
  <c r="H144"/>
  <c r="I145"/>
  <c r="I145" i="21"/>
  <c r="D146"/>
  <c r="B146" s="1"/>
  <c r="J145"/>
  <c r="N145" i="1"/>
  <c r="J145" s="1"/>
  <c r="I145"/>
  <c r="I145" i="29"/>
  <c r="J145"/>
  <c r="I145" i="27"/>
  <c r="J141"/>
  <c r="D142"/>
  <c r="B142" s="1"/>
  <c r="D141" i="26"/>
  <c r="N146" i="30" l="1"/>
  <c r="I146"/>
  <c r="H145"/>
  <c r="D147"/>
  <c r="B147" s="1"/>
  <c r="J146"/>
  <c r="J146" i="21"/>
  <c r="I146"/>
  <c r="I146" i="1"/>
  <c r="D147"/>
  <c r="B147" s="1"/>
  <c r="N146"/>
  <c r="J146" s="1"/>
  <c r="J146" i="29"/>
  <c r="I146"/>
  <c r="D147"/>
  <c r="B147" s="1"/>
  <c r="J142" i="27"/>
  <c r="I146"/>
  <c r="B141" i="26"/>
  <c r="N147" i="30" l="1"/>
  <c r="J147" s="1"/>
  <c r="H146"/>
  <c r="I147"/>
  <c r="I147" i="21"/>
  <c r="D148"/>
  <c r="B148" s="1"/>
  <c r="J147"/>
  <c r="N147" i="1"/>
  <c r="J147" s="1"/>
  <c r="I147"/>
  <c r="J147" i="29"/>
  <c r="I147"/>
  <c r="D149" s="1"/>
  <c r="B149" s="1"/>
  <c r="J143" i="27"/>
  <c r="I147"/>
  <c r="D144"/>
  <c r="B144" s="1"/>
  <c r="D143" i="26"/>
  <c r="J148" i="30" l="1"/>
  <c r="H147"/>
  <c r="D149"/>
  <c r="B149" s="1"/>
  <c r="N148"/>
  <c r="I148"/>
  <c r="J148" i="21"/>
  <c r="I148"/>
  <c r="I148" i="1"/>
  <c r="N148"/>
  <c r="J148" s="1"/>
  <c r="D149"/>
  <c r="B149" s="1"/>
  <c r="I148" i="29"/>
  <c r="J148"/>
  <c r="J144" i="27"/>
  <c r="I148"/>
  <c r="B143" i="26"/>
  <c r="I149" i="30" l="1"/>
  <c r="N149"/>
  <c r="J149" s="1"/>
  <c r="H148"/>
  <c r="I149" i="21"/>
  <c r="D150"/>
  <c r="B150" s="1"/>
  <c r="J149"/>
  <c r="N149" i="1"/>
  <c r="J149" s="1"/>
  <c r="I149"/>
  <c r="I149" i="29"/>
  <c r="D151" s="1"/>
  <c r="B151" s="1"/>
  <c r="J149"/>
  <c r="I149" i="27"/>
  <c r="J145"/>
  <c r="D146"/>
  <c r="B146" s="1"/>
  <c r="D145" i="26"/>
  <c r="J150" i="30" l="1"/>
  <c r="N150"/>
  <c r="I150"/>
  <c r="D151"/>
  <c r="B151" s="1"/>
  <c r="H149"/>
  <c r="J150" i="21"/>
  <c r="I150"/>
  <c r="I150" i="1"/>
  <c r="N150"/>
  <c r="J150" s="1"/>
  <c r="D151"/>
  <c r="B151" s="1"/>
  <c r="J150" i="29"/>
  <c r="I150"/>
  <c r="I150" i="27"/>
  <c r="J146"/>
  <c r="B145" i="26"/>
  <c r="J151" i="30" l="1"/>
  <c r="N151"/>
  <c r="H150"/>
  <c r="I151"/>
  <c r="I151" i="21"/>
  <c r="D152"/>
  <c r="B152" s="1"/>
  <c r="J151"/>
  <c r="N151" i="1"/>
  <c r="J151" s="1"/>
  <c r="I151"/>
  <c r="J151" i="29"/>
  <c r="I151"/>
  <c r="D153" s="1"/>
  <c r="B153" s="1"/>
  <c r="I151" i="27"/>
  <c r="J147"/>
  <c r="D148"/>
  <c r="B148" s="1"/>
  <c r="D147" i="26"/>
  <c r="H151" i="30" l="1"/>
  <c r="D153"/>
  <c r="B153" s="1"/>
  <c r="N152"/>
  <c r="I152"/>
  <c r="J152"/>
  <c r="J152" i="21"/>
  <c r="I152"/>
  <c r="I152" i="1"/>
  <c r="D153"/>
  <c r="B153" s="1"/>
  <c r="N152"/>
  <c r="J152" s="1"/>
  <c r="I152" i="29"/>
  <c r="J152"/>
  <c r="J148" i="27"/>
  <c r="I152"/>
  <c r="B147" i="26"/>
  <c r="N153" i="30" l="1"/>
  <c r="J153" s="1"/>
  <c r="H152"/>
  <c r="I153"/>
  <c r="I153" i="21"/>
  <c r="D154"/>
  <c r="B154" s="1"/>
  <c r="J153"/>
  <c r="N153" i="1"/>
  <c r="J153" s="1"/>
  <c r="I153"/>
  <c r="I153" i="29"/>
  <c r="D155" s="1"/>
  <c r="B155" s="1"/>
  <c r="J153"/>
  <c r="J149" i="27"/>
  <c r="I153"/>
  <c r="D150"/>
  <c r="B150" s="1"/>
  <c r="D149" i="26"/>
  <c r="J154" i="30" l="1"/>
  <c r="N154"/>
  <c r="I154"/>
  <c r="D155"/>
  <c r="B155" s="1"/>
  <c r="H153"/>
  <c r="J154" i="21"/>
  <c r="I154"/>
  <c r="I154" i="1"/>
  <c r="D155"/>
  <c r="B155" s="1"/>
  <c r="N154"/>
  <c r="J154" s="1"/>
  <c r="J154" i="29"/>
  <c r="I154"/>
  <c r="I154" i="27"/>
  <c r="J150"/>
  <c r="B149" i="26"/>
  <c r="N155" i="30" l="1"/>
  <c r="J155" s="1"/>
  <c r="H154"/>
  <c r="I155"/>
  <c r="I155" i="21"/>
  <c r="D156"/>
  <c r="B156" s="1"/>
  <c r="J155"/>
  <c r="N155" i="1"/>
  <c r="J155" s="1"/>
  <c r="I155"/>
  <c r="J155" i="29"/>
  <c r="I155"/>
  <c r="J151" i="27"/>
  <c r="I155"/>
  <c r="D152"/>
  <c r="B152" s="1"/>
  <c r="D151" i="26"/>
  <c r="H155" i="30" l="1"/>
  <c r="D157"/>
  <c r="B157" s="1"/>
  <c r="N156"/>
  <c r="I156"/>
  <c r="J156"/>
  <c r="J156" i="21"/>
  <c r="I156"/>
  <c r="I156" i="1"/>
  <c r="N156"/>
  <c r="J156" s="1"/>
  <c r="D157"/>
  <c r="B157" s="1"/>
  <c r="I156" i="29"/>
  <c r="J156"/>
  <c r="D157"/>
  <c r="B157" s="1"/>
  <c r="J152" i="27"/>
  <c r="I156"/>
  <c r="J157" i="30" l="1"/>
  <c r="I157"/>
  <c r="N157"/>
  <c r="H156"/>
  <c r="I157" i="21"/>
  <c r="D158"/>
  <c r="B158" s="1"/>
  <c r="J157"/>
  <c r="N157" i="1"/>
  <c r="J157" s="1"/>
  <c r="I157"/>
  <c r="I157" i="29"/>
  <c r="D159" s="1"/>
  <c r="B159" s="1"/>
  <c r="J157"/>
  <c r="J153" i="27"/>
  <c r="I157"/>
  <c r="D154"/>
  <c r="B154" s="1"/>
  <c r="B151" i="26"/>
  <c r="D153"/>
  <c r="N158" i="30" l="1"/>
  <c r="I158"/>
  <c r="D159"/>
  <c r="B159" s="1"/>
  <c r="H157"/>
  <c r="J158"/>
  <c r="J158" i="21"/>
  <c r="I158"/>
  <c r="I158" i="1"/>
  <c r="N158"/>
  <c r="J158" s="1"/>
  <c r="D159"/>
  <c r="B159" s="1"/>
  <c r="J158" i="29"/>
  <c r="I158"/>
  <c r="J154" i="27"/>
  <c r="I158"/>
  <c r="N159" i="30" l="1"/>
  <c r="J159" s="1"/>
  <c r="H158"/>
  <c r="I159"/>
  <c r="I159" i="21"/>
  <c r="D160"/>
  <c r="B160" s="1"/>
  <c r="J159"/>
  <c r="N159" i="1"/>
  <c r="J159" s="1"/>
  <c r="I159"/>
  <c r="J159" i="29"/>
  <c r="I159"/>
  <c r="D161" s="1"/>
  <c r="B161" s="1"/>
  <c r="I159" i="27"/>
  <c r="J155"/>
  <c r="D156"/>
  <c r="B156" s="1"/>
  <c r="D155" i="26"/>
  <c r="B153"/>
  <c r="H159" i="30" l="1"/>
  <c r="D161"/>
  <c r="B161" s="1"/>
  <c r="I160"/>
  <c r="N160"/>
  <c r="J160" s="1"/>
  <c r="J160" i="21"/>
  <c r="I160"/>
  <c r="I160" i="1"/>
  <c r="D161"/>
  <c r="B161" s="1"/>
  <c r="N160"/>
  <c r="J160" s="1"/>
  <c r="I160" i="29"/>
  <c r="J160"/>
  <c r="J156" i="27"/>
  <c r="I160"/>
  <c r="N161" i="30" l="1"/>
  <c r="J161" s="1"/>
  <c r="H160"/>
  <c r="I161"/>
  <c r="I161" i="21"/>
  <c r="J161"/>
  <c r="D162"/>
  <c r="B162" s="1"/>
  <c r="J161" i="1"/>
  <c r="N161"/>
  <c r="I161"/>
  <c r="I161" i="29"/>
  <c r="J161"/>
  <c r="J157" i="27"/>
  <c r="I161"/>
  <c r="D158"/>
  <c r="B158" s="1"/>
  <c r="B155" i="26"/>
  <c r="D157"/>
  <c r="J162" i="30" l="1"/>
  <c r="N162"/>
  <c r="D163"/>
  <c r="B163" s="1"/>
  <c r="I162"/>
  <c r="H161"/>
  <c r="W161" i="21"/>
  <c r="I162"/>
  <c r="J162"/>
  <c r="V161"/>
  <c r="S161"/>
  <c r="I162" i="1"/>
  <c r="D163"/>
  <c r="B163" s="1"/>
  <c r="N162"/>
  <c r="J162" s="1"/>
  <c r="S162" i="29"/>
  <c r="I162"/>
  <c r="D163"/>
  <c r="B163" s="1"/>
  <c r="J158" i="27"/>
  <c r="I162"/>
  <c r="J163" i="30" l="1"/>
  <c r="W162"/>
  <c r="V162"/>
  <c r="S162"/>
  <c r="H162"/>
  <c r="Q164" s="1"/>
  <c r="N163"/>
  <c r="I163"/>
  <c r="W162" i="21"/>
  <c r="D164"/>
  <c r="B164" s="1"/>
  <c r="I163"/>
  <c r="V163"/>
  <c r="V162"/>
  <c r="W162" i="1"/>
  <c r="N163"/>
  <c r="I163"/>
  <c r="V162"/>
  <c r="S162"/>
  <c r="V162" i="29"/>
  <c r="J162"/>
  <c r="W162" s="1"/>
  <c r="I163"/>
  <c r="I163" i="27"/>
  <c r="J159"/>
  <c r="D160"/>
  <c r="B160" s="1"/>
  <c r="B157" i="26"/>
  <c r="D159"/>
  <c r="W163" i="30" l="1"/>
  <c r="V163"/>
  <c r="D165"/>
  <c r="B165" s="1"/>
  <c r="I164"/>
  <c r="H163"/>
  <c r="N164"/>
  <c r="V164" s="1"/>
  <c r="I164" i="21"/>
  <c r="J163"/>
  <c r="S163"/>
  <c r="V163" i="1"/>
  <c r="D165"/>
  <c r="B165" s="1"/>
  <c r="N164"/>
  <c r="V164" s="1"/>
  <c r="I164"/>
  <c r="J163"/>
  <c r="J163" i="29"/>
  <c r="W163" s="1"/>
  <c r="V163"/>
  <c r="I164"/>
  <c r="D165"/>
  <c r="B165" s="1"/>
  <c r="J160" i="27"/>
  <c r="I164"/>
  <c r="N165" i="30" l="1"/>
  <c r="I165"/>
  <c r="J164"/>
  <c r="S164"/>
  <c r="V164" i="21"/>
  <c r="V165"/>
  <c r="I165"/>
  <c r="W163"/>
  <c r="J164"/>
  <c r="N165" i="1"/>
  <c r="I165"/>
  <c r="J164"/>
  <c r="W163"/>
  <c r="S164"/>
  <c r="J164" i="29"/>
  <c r="J165" s="1"/>
  <c r="I165"/>
  <c r="V164"/>
  <c r="S164"/>
  <c r="V165"/>
  <c r="J161" i="27"/>
  <c r="I165"/>
  <c r="D162"/>
  <c r="B162" s="1"/>
  <c r="S158" i="26"/>
  <c r="V158"/>
  <c r="B159"/>
  <c r="D161"/>
  <c r="W164" i="30" l="1"/>
  <c r="J165"/>
  <c r="H165" s="1"/>
  <c r="V165"/>
  <c r="D167"/>
  <c r="I166"/>
  <c r="N166"/>
  <c r="V166" s="1"/>
  <c r="H164"/>
  <c r="Q166" s="1"/>
  <c r="B166" i="21"/>
  <c r="O6" s="1"/>
  <c r="D167"/>
  <c r="S165"/>
  <c r="S167" s="1"/>
  <c r="I166"/>
  <c r="J165"/>
  <c r="W164"/>
  <c r="J165" i="1"/>
  <c r="W164"/>
  <c r="V165"/>
  <c r="N166"/>
  <c r="V166" s="1"/>
  <c r="D167"/>
  <c r="I166"/>
  <c r="W164" i="29"/>
  <c r="I166"/>
  <c r="B167"/>
  <c r="W165"/>
  <c r="J162" i="27"/>
  <c r="I166"/>
  <c r="N167"/>
  <c r="V161"/>
  <c r="S161"/>
  <c r="W158" i="26"/>
  <c r="V159"/>
  <c r="S160"/>
  <c r="B161"/>
  <c r="V160"/>
  <c r="H20" i="29" l="1"/>
  <c r="B168"/>
  <c r="B167" i="30"/>
  <c r="D168"/>
  <c r="J166"/>
  <c r="W165"/>
  <c r="N167"/>
  <c r="I167"/>
  <c r="H166"/>
  <c r="S166"/>
  <c r="S168" s="1"/>
  <c r="O8" i="21"/>
  <c r="M20" s="1"/>
  <c r="H20"/>
  <c r="B167"/>
  <c r="J166"/>
  <c r="W166" s="1"/>
  <c r="W165"/>
  <c r="V166"/>
  <c r="N167"/>
  <c r="N169" s="1"/>
  <c r="J166" i="1"/>
  <c r="W165"/>
  <c r="B167"/>
  <c r="N167"/>
  <c r="I167"/>
  <c r="S166"/>
  <c r="S168" s="1"/>
  <c r="V166" i="29"/>
  <c r="S166"/>
  <c r="S168" s="1"/>
  <c r="I167"/>
  <c r="J166"/>
  <c r="V167"/>
  <c r="N168"/>
  <c r="N170" s="1"/>
  <c r="J163" i="27"/>
  <c r="V162"/>
  <c r="V163"/>
  <c r="D164"/>
  <c r="B164" s="1"/>
  <c r="W159" i="26"/>
  <c r="V167" i="30" l="1"/>
  <c r="N168"/>
  <c r="N170" s="1"/>
  <c r="H20"/>
  <c r="B168"/>
  <c r="W166"/>
  <c r="J167"/>
  <c r="W167" s="1"/>
  <c r="V167" i="1"/>
  <c r="N168"/>
  <c r="N170" s="1"/>
  <c r="J167"/>
  <c r="W167" s="1"/>
  <c r="W166"/>
  <c r="J167" i="29"/>
  <c r="W167" s="1"/>
  <c r="W166"/>
  <c r="J164" i="27"/>
  <c r="W161"/>
  <c r="S163"/>
  <c r="V162" i="26"/>
  <c r="V161"/>
  <c r="W160"/>
  <c r="H167" i="30" l="1"/>
  <c r="H170" s="1"/>
  <c r="AB21" i="1"/>
  <c r="Q22" i="29"/>
  <c r="U22"/>
  <c r="J165" i="27"/>
  <c r="V165"/>
  <c r="D167"/>
  <c r="V164"/>
  <c r="W162"/>
  <c r="S162" i="26"/>
  <c r="S164" s="1"/>
  <c r="B163"/>
  <c r="D164"/>
  <c r="W161"/>
  <c r="T39" i="22" l="1"/>
  <c r="O21" i="1"/>
  <c r="K21" s="1"/>
  <c r="H21" s="1"/>
  <c r="T22" i="29"/>
  <c r="H22"/>
  <c r="J166" i="27"/>
  <c r="S165"/>
  <c r="S167" s="1"/>
  <c r="W163"/>
  <c r="B166"/>
  <c r="H20" s="1"/>
  <c r="M20" s="1"/>
  <c r="O20" s="1"/>
  <c r="W162" i="26"/>
  <c r="W163"/>
  <c r="O6"/>
  <c r="B164"/>
  <c r="V163"/>
  <c r="N164"/>
  <c r="N166" s="1"/>
  <c r="M21" i="27" l="1"/>
  <c r="O21" s="1"/>
  <c r="K21" s="1"/>
  <c r="K20"/>
  <c r="O19" s="1"/>
  <c r="B167"/>
  <c r="V166"/>
  <c r="N169"/>
  <c r="W164"/>
  <c r="F13" i="26"/>
  <c r="F14"/>
  <c r="F16"/>
  <c r="O8"/>
  <c r="M14" s="1"/>
  <c r="F15"/>
  <c r="O39" i="22" l="1"/>
  <c r="X23" i="29"/>
  <c r="H21" i="27"/>
  <c r="M22" s="1"/>
  <c r="O22" s="1"/>
  <c r="K22" s="1"/>
  <c r="W165"/>
  <c r="O14" i="26"/>
  <c r="K14" s="1"/>
  <c r="Z14"/>
  <c r="U14"/>
  <c r="E38" i="22" l="1"/>
  <c r="K38" s="1"/>
  <c r="G15"/>
  <c r="G16"/>
  <c r="G14"/>
  <c r="P8"/>
  <c r="H23" i="29"/>
  <c r="H22" i="27"/>
  <c r="M23" s="1"/>
  <c r="O23" s="1"/>
  <c r="K23" s="1"/>
  <c r="W166"/>
  <c r="T14" i="26"/>
  <c r="X14"/>
  <c r="C38" i="22" l="1"/>
  <c r="B13" s="1"/>
  <c r="E39"/>
  <c r="O41" s="1"/>
  <c r="Z24" i="29"/>
  <c r="Q24"/>
  <c r="U24"/>
  <c r="H23" i="27"/>
  <c r="M24" s="1"/>
  <c r="O24" s="1"/>
  <c r="K24" s="1"/>
  <c r="H24" s="1"/>
  <c r="M25" s="1"/>
  <c r="O25" s="1"/>
  <c r="K25" s="1"/>
  <c r="H25" s="1"/>
  <c r="M26" s="1"/>
  <c r="O26" s="1"/>
  <c r="K26" s="1"/>
  <c r="H26" s="1"/>
  <c r="M27" s="1"/>
  <c r="O27" s="1"/>
  <c r="K27" s="1"/>
  <c r="H27" s="1"/>
  <c r="M28" s="1"/>
  <c r="O28" s="1"/>
  <c r="K28" s="1"/>
  <c r="H28" s="1"/>
  <c r="M29" s="1"/>
  <c r="O29" s="1"/>
  <c r="K29" s="1"/>
  <c r="H29" s="1"/>
  <c r="M30" s="1"/>
  <c r="O30" s="1"/>
  <c r="H14" i="26"/>
  <c r="K30" i="27" l="1"/>
  <c r="H30" s="1"/>
  <c r="M31" s="1"/>
  <c r="C39" i="22"/>
  <c r="G13"/>
  <c r="T24" i="29"/>
  <c r="M15" i="26"/>
  <c r="U15" s="1"/>
  <c r="O31" i="27" l="1"/>
  <c r="H24" i="29"/>
  <c r="O15" i="26"/>
  <c r="K15" s="1"/>
  <c r="K31" i="27" l="1"/>
  <c r="H31" s="1"/>
  <c r="M32" s="1"/>
  <c r="X15" i="26"/>
  <c r="T15"/>
  <c r="H15"/>
  <c r="O32" i="27" l="1"/>
  <c r="X25" i="29"/>
  <c r="M16" i="26"/>
  <c r="Z16" s="1"/>
  <c r="K32" i="27" l="1"/>
  <c r="H32" s="1"/>
  <c r="M33" s="1"/>
  <c r="O16" i="26"/>
  <c r="K16" s="1"/>
  <c r="U16"/>
  <c r="H25" i="29"/>
  <c r="Q16" i="26"/>
  <c r="O33" i="27" l="1"/>
  <c r="T16" i="26"/>
  <c r="Z26" i="29"/>
  <c r="Q26"/>
  <c r="U26"/>
  <c r="H16" i="26"/>
  <c r="K33" i="27" l="1"/>
  <c r="H33" s="1"/>
  <c r="M34" s="1"/>
  <c r="T26" i="29"/>
  <c r="M17" i="26"/>
  <c r="O17" s="1"/>
  <c r="K17" s="1"/>
  <c r="O34" i="27" l="1"/>
  <c r="H26" i="29"/>
  <c r="X17" i="26"/>
  <c r="K34" i="27" l="1"/>
  <c r="H34" s="1"/>
  <c r="M35" s="1"/>
  <c r="H17" i="26"/>
  <c r="O35" i="27" l="1"/>
  <c r="K35" s="1"/>
  <c r="H35" s="1"/>
  <c r="M36" s="1"/>
  <c r="O36" s="1"/>
  <c r="K36" s="1"/>
  <c r="H36" s="1"/>
  <c r="M37" s="1"/>
  <c r="O37" s="1"/>
  <c r="K37" s="1"/>
  <c r="H37" s="1"/>
  <c r="M38" s="1"/>
  <c r="O38" s="1"/>
  <c r="K38" s="1"/>
  <c r="H38" s="1"/>
  <c r="M39" s="1"/>
  <c r="O39" s="1"/>
  <c r="K39" s="1"/>
  <c r="H39" s="1"/>
  <c r="M40" s="1"/>
  <c r="O40" s="1"/>
  <c r="K40" s="1"/>
  <c r="H40" s="1"/>
  <c r="M41" s="1"/>
  <c r="O41" s="1"/>
  <c r="K41" s="1"/>
  <c r="H41" s="1"/>
  <c r="M42" s="1"/>
  <c r="O42" s="1"/>
  <c r="K42" s="1"/>
  <c r="H42" s="1"/>
  <c r="M43" s="1"/>
  <c r="O43" s="1"/>
  <c r="K43" s="1"/>
  <c r="H43" s="1"/>
  <c r="M44" s="1"/>
  <c r="O44" s="1"/>
  <c r="K44" s="1"/>
  <c r="H44" s="1"/>
  <c r="M45" s="1"/>
  <c r="O45" s="1"/>
  <c r="K45" s="1"/>
  <c r="H45" s="1"/>
  <c r="M46" s="1"/>
  <c r="O46" s="1"/>
  <c r="K46" s="1"/>
  <c r="H46" s="1"/>
  <c r="M47" s="1"/>
  <c r="O47" s="1"/>
  <c r="K47" s="1"/>
  <c r="H47" s="1"/>
  <c r="M48" s="1"/>
  <c r="O48" s="1"/>
  <c r="K48" s="1"/>
  <c r="H48" s="1"/>
  <c r="M49" s="1"/>
  <c r="O49" s="1"/>
  <c r="K49" s="1"/>
  <c r="H49" s="1"/>
  <c r="M50" s="1"/>
  <c r="O50" s="1"/>
  <c r="K50" s="1"/>
  <c r="H50" s="1"/>
  <c r="M51" s="1"/>
  <c r="O51" s="1"/>
  <c r="K51" s="1"/>
  <c r="H51" s="1"/>
  <c r="M52" s="1"/>
  <c r="O52" s="1"/>
  <c r="K52" s="1"/>
  <c r="H52" s="1"/>
  <c r="M53" s="1"/>
  <c r="O53" s="1"/>
  <c r="K53" s="1"/>
  <c r="H53" s="1"/>
  <c r="M54" s="1"/>
  <c r="O54" s="1"/>
  <c r="K54" s="1"/>
  <c r="H54" s="1"/>
  <c r="M55" s="1"/>
  <c r="O55" s="1"/>
  <c r="K55" s="1"/>
  <c r="X27" i="29"/>
  <c r="M18" i="26"/>
  <c r="Z18" s="1"/>
  <c r="Q18" l="1"/>
  <c r="H27" i="29"/>
  <c r="H55" i="27"/>
  <c r="M56" s="1"/>
  <c r="O56" s="1"/>
  <c r="K56" s="1"/>
  <c r="Q21"/>
  <c r="Z21"/>
  <c r="U21"/>
  <c r="O18" i="26"/>
  <c r="K18" s="1"/>
  <c r="U18"/>
  <c r="Z28" i="29" l="1"/>
  <c r="Q28"/>
  <c r="U28"/>
  <c r="H56" i="27"/>
  <c r="M57" s="1"/>
  <c r="O57" s="1"/>
  <c r="K57" s="1"/>
  <c r="T21"/>
  <c r="T18" i="26"/>
  <c r="H18"/>
  <c r="T28" i="29" l="1"/>
  <c r="H57" i="27"/>
  <c r="M58" s="1"/>
  <c r="O58" s="1"/>
  <c r="K58" s="1"/>
  <c r="M19" i="26"/>
  <c r="O19" s="1"/>
  <c r="K19" s="1"/>
  <c r="H28" i="29" l="1"/>
  <c r="H58" i="27"/>
  <c r="M59" s="1"/>
  <c r="O59" s="1"/>
  <c r="K59" s="1"/>
  <c r="X19" i="26"/>
  <c r="H59" i="27" l="1"/>
  <c r="M60" s="1"/>
  <c r="O60" s="1"/>
  <c r="K60" s="1"/>
  <c r="X22"/>
  <c r="H19" i="26"/>
  <c r="X29" i="29" l="1"/>
  <c r="H60" i="27"/>
  <c r="M61" s="1"/>
  <c r="O61" s="1"/>
  <c r="K61" s="1"/>
  <c r="M20" i="26"/>
  <c r="O20" s="1"/>
  <c r="K20" s="1"/>
  <c r="Z20" l="1"/>
  <c r="H29" i="29"/>
  <c r="H61" i="27"/>
  <c r="M62" s="1"/>
  <c r="O62" s="1"/>
  <c r="K62" s="1"/>
  <c r="Z23"/>
  <c r="Q23"/>
  <c r="U23"/>
  <c r="Q20" i="26"/>
  <c r="U20"/>
  <c r="T20"/>
  <c r="Q30" i="29" l="1"/>
  <c r="Z30"/>
  <c r="U30"/>
  <c r="H62" i="27"/>
  <c r="M63" s="1"/>
  <c r="O63" s="1"/>
  <c r="K63" s="1"/>
  <c r="T23"/>
  <c r="H20" i="26"/>
  <c r="T30" i="29" l="1"/>
  <c r="H63" i="27"/>
  <c r="M64" s="1"/>
  <c r="O64" s="1"/>
  <c r="K64" s="1"/>
  <c r="H64" s="1"/>
  <c r="M65" s="1"/>
  <c r="O65" s="1"/>
  <c r="K65" s="1"/>
  <c r="M21" i="26"/>
  <c r="O21" s="1"/>
  <c r="K21" s="1"/>
  <c r="H30" i="29" l="1"/>
  <c r="H65" i="27"/>
  <c r="M66" s="1"/>
  <c r="O66" s="1"/>
  <c r="K66" s="1"/>
  <c r="X21" i="26"/>
  <c r="H66" i="27" l="1"/>
  <c r="M67" s="1"/>
  <c r="O67" s="1"/>
  <c r="K67" s="1"/>
  <c r="H67" s="1"/>
  <c r="M68" s="1"/>
  <c r="O68" s="1"/>
  <c r="K68" s="1"/>
  <c r="H68" s="1"/>
  <c r="M69" s="1"/>
  <c r="O69" s="1"/>
  <c r="K69" s="1"/>
  <c r="X24"/>
  <c r="H21" i="26"/>
  <c r="X31" i="29" l="1"/>
  <c r="H69" i="27"/>
  <c r="M70" s="1"/>
  <c r="O70" s="1"/>
  <c r="K70" s="1"/>
  <c r="M22" i="26"/>
  <c r="Q22" s="1"/>
  <c r="H31" i="29" l="1"/>
  <c r="H70" i="27"/>
  <c r="M71" s="1"/>
  <c r="O71" s="1"/>
  <c r="K71" s="1"/>
  <c r="Z25"/>
  <c r="Q25"/>
  <c r="U25"/>
  <c r="Z22" i="26"/>
  <c r="O22"/>
  <c r="K22" s="1"/>
  <c r="U22"/>
  <c r="Z32" i="29" l="1"/>
  <c r="H71" i="27"/>
  <c r="M72" s="1"/>
  <c r="O72" s="1"/>
  <c r="K72" s="1"/>
  <c r="T25"/>
  <c r="T22" i="26"/>
  <c r="H22"/>
  <c r="M23" s="1"/>
  <c r="H32" i="29" l="1"/>
  <c r="H72" i="27"/>
  <c r="M73" s="1"/>
  <c r="O73" s="1"/>
  <c r="K73" s="1"/>
  <c r="O23" i="26"/>
  <c r="K23" s="1"/>
  <c r="H33" i="29" l="1"/>
  <c r="H73" i="27"/>
  <c r="M74" s="1"/>
  <c r="O74" s="1"/>
  <c r="K74" s="1"/>
  <c r="H74" s="1"/>
  <c r="M75" s="1"/>
  <c r="O75" s="1"/>
  <c r="K75" s="1"/>
  <c r="X23" i="26"/>
  <c r="Z34" i="29" l="1"/>
  <c r="H75" i="27"/>
  <c r="M76" s="1"/>
  <c r="O76" s="1"/>
  <c r="K76" s="1"/>
  <c r="X26"/>
  <c r="H23" i="26"/>
  <c r="H34" i="29" l="1"/>
  <c r="H76" i="27"/>
  <c r="M77" s="1"/>
  <c r="O77" s="1"/>
  <c r="K77" s="1"/>
  <c r="M24" i="26"/>
  <c r="O24" s="1"/>
  <c r="K24" s="1"/>
  <c r="Q24" l="1"/>
  <c r="Z24"/>
  <c r="H35" i="29"/>
  <c r="H77" i="27"/>
  <c r="M78" s="1"/>
  <c r="O78" s="1"/>
  <c r="K78" s="1"/>
  <c r="Q27"/>
  <c r="Z27"/>
  <c r="U27"/>
  <c r="U24" i="26"/>
  <c r="T24"/>
  <c r="Z36" i="29" l="1"/>
  <c r="H78" i="27"/>
  <c r="M79" s="1"/>
  <c r="O79" s="1"/>
  <c r="K79" s="1"/>
  <c r="T27"/>
  <c r="H24" i="26"/>
  <c r="H36" i="29" l="1"/>
  <c r="H79" i="27"/>
  <c r="M80" s="1"/>
  <c r="O80" s="1"/>
  <c r="K80" s="1"/>
  <c r="M25" i="26"/>
  <c r="O25" s="1"/>
  <c r="K25" s="1"/>
  <c r="H37" i="29" l="1"/>
  <c r="H80" i="27"/>
  <c r="M81" s="1"/>
  <c r="O81" s="1"/>
  <c r="K81" s="1"/>
  <c r="X25" i="26"/>
  <c r="Z38" i="29" l="1"/>
  <c r="H81" i="27"/>
  <c r="M82" s="1"/>
  <c r="O82" s="1"/>
  <c r="K82" s="1"/>
  <c r="X28"/>
  <c r="H25" i="26"/>
  <c r="H38" i="29" l="1"/>
  <c r="H82" i="27"/>
  <c r="M83" s="1"/>
  <c r="O83" s="1"/>
  <c r="K83" s="1"/>
  <c r="M26" i="26"/>
  <c r="Q26" s="1"/>
  <c r="Z26" l="1"/>
  <c r="O26"/>
  <c r="K26" s="1"/>
  <c r="H39" i="29"/>
  <c r="H83" i="27"/>
  <c r="M84" s="1"/>
  <c r="O84" s="1"/>
  <c r="K84" s="1"/>
  <c r="H84" s="1"/>
  <c r="M85" s="1"/>
  <c r="O85" s="1"/>
  <c r="K85" s="1"/>
  <c r="Q29"/>
  <c r="Z29"/>
  <c r="U29"/>
  <c r="U26" i="26"/>
  <c r="T26" l="1"/>
  <c r="Z40" i="29"/>
  <c r="H85" i="27"/>
  <c r="M86" s="1"/>
  <c r="O86" s="1"/>
  <c r="K86" s="1"/>
  <c r="H86" s="1"/>
  <c r="M87" s="1"/>
  <c r="O87" s="1"/>
  <c r="K87" s="1"/>
  <c r="T29"/>
  <c r="H26" i="26"/>
  <c r="H40" i="29" l="1"/>
  <c r="H87" i="27"/>
  <c r="M88" s="1"/>
  <c r="O88" s="1"/>
  <c r="K88" s="1"/>
  <c r="M27" i="26"/>
  <c r="O27" s="1"/>
  <c r="H41" i="29" l="1"/>
  <c r="H88" i="27"/>
  <c r="M89" s="1"/>
  <c r="O89" s="1"/>
  <c r="K89" s="1"/>
  <c r="H89" s="1"/>
  <c r="M90" s="1"/>
  <c r="O90" s="1"/>
  <c r="K90" s="1"/>
  <c r="K27" i="26"/>
  <c r="X27"/>
  <c r="Z42" i="29" l="1"/>
  <c r="H90" i="27"/>
  <c r="M91" s="1"/>
  <c r="O91" s="1"/>
  <c r="K91" s="1"/>
  <c r="H91" s="1"/>
  <c r="M92" s="1"/>
  <c r="O92" s="1"/>
  <c r="K92" s="1"/>
  <c r="H92" s="1"/>
  <c r="M93" s="1"/>
  <c r="O93" s="1"/>
  <c r="K93" s="1"/>
  <c r="H93" s="1"/>
  <c r="M94" s="1"/>
  <c r="O94" s="1"/>
  <c r="K94" s="1"/>
  <c r="X30"/>
  <c r="H27" i="26"/>
  <c r="M28" s="1"/>
  <c r="Z28" s="1"/>
  <c r="J24" i="13"/>
  <c r="B24"/>
  <c r="G47"/>
  <c r="G46"/>
  <c r="G45"/>
  <c r="P40"/>
  <c r="L39"/>
  <c r="A39"/>
  <c r="AC38"/>
  <c r="AA38" s="1"/>
  <c r="AB38"/>
  <c r="L38"/>
  <c r="A38"/>
  <c r="AA37"/>
  <c r="L37"/>
  <c r="A37"/>
  <c r="AA36"/>
  <c r="L36"/>
  <c r="A36"/>
  <c r="AA35"/>
  <c r="L35"/>
  <c r="A35"/>
  <c r="AA34"/>
  <c r="L34"/>
  <c r="A34"/>
  <c r="AA33"/>
  <c r="L33"/>
  <c r="A33"/>
  <c r="AA32"/>
  <c r="L32"/>
  <c r="A32"/>
  <c r="AA31"/>
  <c r="L31"/>
  <c r="A31"/>
  <c r="AA30"/>
  <c r="L30"/>
  <c r="C30"/>
  <c r="C32" s="1"/>
  <c r="B30"/>
  <c r="A30"/>
  <c r="AA29"/>
  <c r="L29"/>
  <c r="C29"/>
  <c r="C31" s="1"/>
  <c r="A29"/>
  <c r="AA28"/>
  <c r="L28"/>
  <c r="B28"/>
  <c r="A28"/>
  <c r="AA27"/>
  <c r="L27"/>
  <c r="A27"/>
  <c r="AA26"/>
  <c r="L26"/>
  <c r="B26"/>
  <c r="A26"/>
  <c r="AP25"/>
  <c r="AK25"/>
  <c r="AJ25"/>
  <c r="AH25"/>
  <c r="AH26" s="1"/>
  <c r="AA25"/>
  <c r="L25"/>
  <c r="I25"/>
  <c r="I26" s="1"/>
  <c r="A25"/>
  <c r="D25" s="1"/>
  <c r="AA24"/>
  <c r="N24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X22"/>
  <c r="W22"/>
  <c r="V22"/>
  <c r="AR21"/>
  <c r="AQ21"/>
  <c r="AP21"/>
  <c r="AO21"/>
  <c r="AN21"/>
  <c r="AM21"/>
  <c r="AL21"/>
  <c r="AK21"/>
  <c r="AJ21"/>
  <c r="AI21"/>
  <c r="AH21"/>
  <c r="AG21"/>
  <c r="AF21"/>
  <c r="AE21"/>
  <c r="AD21"/>
  <c r="AC21"/>
  <c r="AB21"/>
  <c r="AA21"/>
  <c r="Z21"/>
  <c r="W21"/>
  <c r="V21"/>
  <c r="U21"/>
  <c r="T21"/>
  <c r="S21"/>
  <c r="Q21"/>
  <c r="AR20"/>
  <c r="AQ20"/>
  <c r="AP20"/>
  <c r="AO20"/>
  <c r="AN20"/>
  <c r="AM20"/>
  <c r="AL20"/>
  <c r="AK20"/>
  <c r="AJ20"/>
  <c r="AI20"/>
  <c r="AH20"/>
  <c r="AG20"/>
  <c r="AF20"/>
  <c r="AE20"/>
  <c r="AD20"/>
  <c r="AC20"/>
  <c r="AB20"/>
  <c r="AA20"/>
  <c r="Z20"/>
  <c r="X20"/>
  <c r="W20"/>
  <c r="V20"/>
  <c r="AR19"/>
  <c r="AQ19"/>
  <c r="AP19"/>
  <c r="AO19"/>
  <c r="AN19"/>
  <c r="AM19"/>
  <c r="AL19"/>
  <c r="AK19"/>
  <c r="AJ19"/>
  <c r="AI19"/>
  <c r="AH19"/>
  <c r="AG19"/>
  <c r="AF19"/>
  <c r="AE19"/>
  <c r="AD19"/>
  <c r="AC19"/>
  <c r="AB19"/>
  <c r="AA19"/>
  <c r="Z19"/>
  <c r="AR18"/>
  <c r="AQ18"/>
  <c r="AP18"/>
  <c r="AO18"/>
  <c r="AN18"/>
  <c r="AM18"/>
  <c r="AL18"/>
  <c r="AK18"/>
  <c r="AJ18"/>
  <c r="AI18"/>
  <c r="AH18"/>
  <c r="AG18"/>
  <c r="AF18"/>
  <c r="AE18"/>
  <c r="AD18"/>
  <c r="AC18"/>
  <c r="AB18"/>
  <c r="AA18"/>
  <c r="Z18"/>
  <c r="AR17"/>
  <c r="AQ17"/>
  <c r="AP17"/>
  <c r="AO17"/>
  <c r="AN17"/>
  <c r="AM17"/>
  <c r="AL17"/>
  <c r="AK17"/>
  <c r="AJ17"/>
  <c r="AI17"/>
  <c r="AH17"/>
  <c r="AG17"/>
  <c r="AF17"/>
  <c r="AE17"/>
  <c r="AD17"/>
  <c r="AC17"/>
  <c r="AB17"/>
  <c r="AA17"/>
  <c r="Z17"/>
  <c r="X17"/>
  <c r="W17"/>
  <c r="V17"/>
  <c r="AR16"/>
  <c r="AQ16"/>
  <c r="AP16"/>
  <c r="AO16"/>
  <c r="AN16"/>
  <c r="AM16"/>
  <c r="AL16"/>
  <c r="AK16"/>
  <c r="AJ16"/>
  <c r="AI16"/>
  <c r="AH16"/>
  <c r="AG16"/>
  <c r="AF16"/>
  <c r="AE16"/>
  <c r="AD16"/>
  <c r="AC16"/>
  <c r="AB16"/>
  <c r="AA16"/>
  <c r="Z16"/>
  <c r="W16"/>
  <c r="V16"/>
  <c r="U16"/>
  <c r="T16"/>
  <c r="S16"/>
  <c r="Q16"/>
  <c r="AR15"/>
  <c r="AQ15"/>
  <c r="AP15"/>
  <c r="AO15"/>
  <c r="AN15"/>
  <c r="AM15"/>
  <c r="AL15"/>
  <c r="AK15"/>
  <c r="AJ15"/>
  <c r="AI15"/>
  <c r="AH15"/>
  <c r="AG15"/>
  <c r="AF15"/>
  <c r="AE15"/>
  <c r="AD15"/>
  <c r="AC15"/>
  <c r="AB15"/>
  <c r="AA15"/>
  <c r="Z15"/>
  <c r="X15"/>
  <c r="W15"/>
  <c r="V15"/>
  <c r="U15"/>
  <c r="T15"/>
  <c r="AR14"/>
  <c r="AQ14"/>
  <c r="AP14"/>
  <c r="AO14"/>
  <c r="AN14"/>
  <c r="AM14"/>
  <c r="AL14"/>
  <c r="AK14"/>
  <c r="AJ14"/>
  <c r="AI14"/>
  <c r="AH14"/>
  <c r="AG14"/>
  <c r="AF14"/>
  <c r="AE14"/>
  <c r="AD14"/>
  <c r="AC14"/>
  <c r="AB14"/>
  <c r="AA14"/>
  <c r="Z14"/>
  <c r="X14"/>
  <c r="W14"/>
  <c r="V14"/>
  <c r="U14"/>
  <c r="T14"/>
  <c r="AR13"/>
  <c r="AQ13"/>
  <c r="AP13"/>
  <c r="AO13"/>
  <c r="AN13"/>
  <c r="AM13"/>
  <c r="AL13"/>
  <c r="AK13"/>
  <c r="AJ13"/>
  <c r="AI13"/>
  <c r="AH13"/>
  <c r="AG13"/>
  <c r="AF13"/>
  <c r="AE13"/>
  <c r="AD13"/>
  <c r="AC13"/>
  <c r="AB13"/>
  <c r="AA13"/>
  <c r="Z13"/>
  <c r="S13"/>
  <c r="J6"/>
  <c r="J5"/>
  <c r="J4"/>
  <c r="J3"/>
  <c r="H42" i="29" l="1"/>
  <c r="H94" i="27"/>
  <c r="M95" s="1"/>
  <c r="O95" s="1"/>
  <c r="K95" s="1"/>
  <c r="O28" i="26"/>
  <c r="K28" s="1"/>
  <c r="H28" s="1"/>
  <c r="M29" s="1"/>
  <c r="AB39" i="13"/>
  <c r="N25"/>
  <c r="AC39"/>
  <c r="I27"/>
  <c r="N27"/>
  <c r="AG26"/>
  <c r="AP27"/>
  <c r="AH27"/>
  <c r="C33"/>
  <c r="B25"/>
  <c r="AA39"/>
  <c r="S25"/>
  <c r="C34"/>
  <c r="B32"/>
  <c r="J25"/>
  <c r="V25"/>
  <c r="AO25"/>
  <c r="N26"/>
  <c r="AP26"/>
  <c r="AK26" s="1"/>
  <c r="AK27" s="1"/>
  <c r="AG25"/>
  <c r="D27"/>
  <c r="B27" s="1"/>
  <c r="H43" i="29" l="1"/>
  <c r="H95" i="27"/>
  <c r="M96" s="1"/>
  <c r="O96" s="1"/>
  <c r="K96" s="1"/>
  <c r="Z31"/>
  <c r="O29" i="26"/>
  <c r="K29" s="1"/>
  <c r="C35" i="13"/>
  <c r="AO27"/>
  <c r="V27"/>
  <c r="S27"/>
  <c r="AO26"/>
  <c r="V26"/>
  <c r="AI25"/>
  <c r="W25"/>
  <c r="J26"/>
  <c r="C36"/>
  <c r="B34"/>
  <c r="AH28"/>
  <c r="AP28"/>
  <c r="AK28" s="1"/>
  <c r="AG27"/>
  <c r="I28"/>
  <c r="D29"/>
  <c r="B29" s="1"/>
  <c r="N28"/>
  <c r="Z44" i="29" l="1"/>
  <c r="H96" i="27"/>
  <c r="M97" s="1"/>
  <c r="O97" s="1"/>
  <c r="K97" s="1"/>
  <c r="H29" i="26"/>
  <c r="M30" s="1"/>
  <c r="AK29" i="13"/>
  <c r="AO28"/>
  <c r="V28"/>
  <c r="AJ26"/>
  <c r="C37"/>
  <c r="N29"/>
  <c r="I29"/>
  <c r="AG28"/>
  <c r="AH29"/>
  <c r="AP29"/>
  <c r="C38"/>
  <c r="B38" s="1"/>
  <c r="B36"/>
  <c r="W26"/>
  <c r="AI26"/>
  <c r="J27"/>
  <c r="H44" i="29" l="1"/>
  <c r="H97" i="27"/>
  <c r="M98" s="1"/>
  <c r="O98" s="1"/>
  <c r="K98" s="1"/>
  <c r="H98" s="1"/>
  <c r="M99" s="1"/>
  <c r="O99" s="1"/>
  <c r="K99" s="1"/>
  <c r="O30" i="26"/>
  <c r="K30" s="1"/>
  <c r="Z30"/>
  <c r="AH30" i="13"/>
  <c r="AP30"/>
  <c r="C40"/>
  <c r="W27"/>
  <c r="J28"/>
  <c r="AI27"/>
  <c r="AO29"/>
  <c r="V29"/>
  <c r="S29"/>
  <c r="N30"/>
  <c r="D31"/>
  <c r="I30"/>
  <c r="AG29"/>
  <c r="AK30"/>
  <c r="AJ27"/>
  <c r="H45" i="29" l="1"/>
  <c r="H99" i="27"/>
  <c r="M100" s="1"/>
  <c r="O100" s="1"/>
  <c r="K100" s="1"/>
  <c r="Z33"/>
  <c r="H30" i="26"/>
  <c r="AJ28" i="13"/>
  <c r="N31"/>
  <c r="I31"/>
  <c r="AG30"/>
  <c r="AH31"/>
  <c r="AP31"/>
  <c r="V30"/>
  <c r="AO30"/>
  <c r="J29"/>
  <c r="W28"/>
  <c r="AI28"/>
  <c r="AK31"/>
  <c r="B31"/>
  <c r="Z46" i="29" l="1"/>
  <c r="H100" i="27"/>
  <c r="M101" s="1"/>
  <c r="O101" s="1"/>
  <c r="K101" s="1"/>
  <c r="M31" i="26"/>
  <c r="O31" s="1"/>
  <c r="K31" s="1"/>
  <c r="W29" i="13"/>
  <c r="AI29"/>
  <c r="J30"/>
  <c r="AO31"/>
  <c r="V31"/>
  <c r="AH32"/>
  <c r="AP32"/>
  <c r="S31"/>
  <c r="I32"/>
  <c r="N32"/>
  <c r="D33"/>
  <c r="AG31"/>
  <c r="AK32"/>
  <c r="AJ29"/>
  <c r="H46" i="29" l="1"/>
  <c r="H101" i="27"/>
  <c r="M102" s="1"/>
  <c r="O102" s="1"/>
  <c r="K102" s="1"/>
  <c r="H102" s="1"/>
  <c r="M103" s="1"/>
  <c r="O103" s="1"/>
  <c r="K103" s="1"/>
  <c r="H31" i="26"/>
  <c r="M32" s="1"/>
  <c r="Z32" s="1"/>
  <c r="N33" i="13"/>
  <c r="S33" s="1"/>
  <c r="I33"/>
  <c r="AG32"/>
  <c r="AH33"/>
  <c r="AP33"/>
  <c r="J31"/>
  <c r="AI30"/>
  <c r="W30"/>
  <c r="AK33"/>
  <c r="B33"/>
  <c r="AO32"/>
  <c r="V32"/>
  <c r="AJ30"/>
  <c r="O32" i="26" l="1"/>
  <c r="K32" s="1"/>
  <c r="H32" s="1"/>
  <c r="H47" i="29"/>
  <c r="H103" i="27"/>
  <c r="M104" s="1"/>
  <c r="O104" s="1"/>
  <c r="K104" s="1"/>
  <c r="H104" s="1"/>
  <c r="M105" s="1"/>
  <c r="O105" s="1"/>
  <c r="K105" s="1"/>
  <c r="Z35"/>
  <c r="AO33" i="13"/>
  <c r="V33"/>
  <c r="AH34"/>
  <c r="AP34"/>
  <c r="AK34" s="1"/>
  <c r="W31"/>
  <c r="AI31"/>
  <c r="J32"/>
  <c r="I34"/>
  <c r="AG33"/>
  <c r="D35"/>
  <c r="N34"/>
  <c r="AJ31"/>
  <c r="Z48" i="29" l="1"/>
  <c r="H105" i="27"/>
  <c r="M106" s="1"/>
  <c r="O106" s="1"/>
  <c r="K106" s="1"/>
  <c r="M33" i="26"/>
  <c r="O33" s="1"/>
  <c r="K33" s="1"/>
  <c r="AJ32" i="13"/>
  <c r="AK35"/>
  <c r="B35"/>
  <c r="N35"/>
  <c r="S35" s="1"/>
  <c r="AG34"/>
  <c r="I35"/>
  <c r="AH35"/>
  <c r="AP35"/>
  <c r="AO34"/>
  <c r="V34"/>
  <c r="J33"/>
  <c r="W32"/>
  <c r="AI32"/>
  <c r="H48" i="29" l="1"/>
  <c r="H106" i="27"/>
  <c r="M107" s="1"/>
  <c r="O107" s="1"/>
  <c r="K107" s="1"/>
  <c r="H33" i="26"/>
  <c r="M34" s="1"/>
  <c r="Z34" s="1"/>
  <c r="N36" i="13"/>
  <c r="AG35"/>
  <c r="D37"/>
  <c r="B37" s="1"/>
  <c r="I36"/>
  <c r="AH36"/>
  <c r="AP36"/>
  <c r="J34"/>
  <c r="AI33"/>
  <c r="W33"/>
  <c r="V35"/>
  <c r="AO35"/>
  <c r="AK36"/>
  <c r="AJ33"/>
  <c r="O34" i="26" l="1"/>
  <c r="K34" s="1"/>
  <c r="H34" s="1"/>
  <c r="H49" i="29"/>
  <c r="H107" i="27"/>
  <c r="M108" s="1"/>
  <c r="O108" s="1"/>
  <c r="K108" s="1"/>
  <c r="H108" s="1"/>
  <c r="M109" s="1"/>
  <c r="O109" s="1"/>
  <c r="K109" s="1"/>
  <c r="Z37"/>
  <c r="AJ34" i="13"/>
  <c r="J35"/>
  <c r="W34"/>
  <c r="AI34"/>
  <c r="AO36"/>
  <c r="V36"/>
  <c r="AH37"/>
  <c r="AP38" s="1"/>
  <c r="AP37"/>
  <c r="AK37" s="1"/>
  <c r="N37"/>
  <c r="AG36"/>
  <c r="I37"/>
  <c r="Z50" i="29" l="1"/>
  <c r="H109" i="27"/>
  <c r="M110" s="1"/>
  <c r="O110" s="1"/>
  <c r="K110" s="1"/>
  <c r="M35" i="26"/>
  <c r="O35" s="1"/>
  <c r="K35" s="1"/>
  <c r="H35" s="1"/>
  <c r="M36" s="1"/>
  <c r="AJ35" i="13"/>
  <c r="AI35"/>
  <c r="J36"/>
  <c r="W35"/>
  <c r="AO37"/>
  <c r="V37"/>
  <c r="S37"/>
  <c r="I38"/>
  <c r="D39"/>
  <c r="N38"/>
  <c r="AG37"/>
  <c r="AP39"/>
  <c r="H50" i="29" l="1"/>
  <c r="H110" i="27"/>
  <c r="M111" s="1"/>
  <c r="O111" s="1"/>
  <c r="K111" s="1"/>
  <c r="H111" s="1"/>
  <c r="M112" s="1"/>
  <c r="O112" s="1"/>
  <c r="K112" s="1"/>
  <c r="H112" s="1"/>
  <c r="M113" s="1"/>
  <c r="O113" s="1"/>
  <c r="K113" s="1"/>
  <c r="H113" s="1"/>
  <c r="M114" s="1"/>
  <c r="O114" s="1"/>
  <c r="K114" s="1"/>
  <c r="H114" s="1"/>
  <c r="M115" s="1"/>
  <c r="O115" s="1"/>
  <c r="K115" s="1"/>
  <c r="O36" i="26"/>
  <c r="K36" s="1"/>
  <c r="Z36"/>
  <c r="AO38" i="13"/>
  <c r="AO39" s="1"/>
  <c r="V38"/>
  <c r="B39"/>
  <c r="D40"/>
  <c r="J37"/>
  <c r="W36"/>
  <c r="AI36"/>
  <c r="I39"/>
  <c r="N39"/>
  <c r="AG38"/>
  <c r="AJ36"/>
  <c r="AJ37" s="1"/>
  <c r="H51" i="29" l="1"/>
  <c r="H115" i="27"/>
  <c r="M116" s="1"/>
  <c r="O116" s="1"/>
  <c r="K116" s="1"/>
  <c r="Z39"/>
  <c r="H36" i="26"/>
  <c r="V39" i="13"/>
  <c r="N40"/>
  <c r="N41" s="1"/>
  <c r="AI37"/>
  <c r="J38"/>
  <c r="W37"/>
  <c r="S39"/>
  <c r="S40" s="1"/>
  <c r="Z52" i="29" l="1"/>
  <c r="H116" i="27"/>
  <c r="M117" s="1"/>
  <c r="O117" s="1"/>
  <c r="K117" s="1"/>
  <c r="H117" s="1"/>
  <c r="M118" s="1"/>
  <c r="O118" s="1"/>
  <c r="K118" s="1"/>
  <c r="H118" s="1"/>
  <c r="M119" s="1"/>
  <c r="O119" s="1"/>
  <c r="K119" s="1"/>
  <c r="H119" s="1"/>
  <c r="M120" s="1"/>
  <c r="O120" s="1"/>
  <c r="K120" s="1"/>
  <c r="H120" s="1"/>
  <c r="M121" s="1"/>
  <c r="O121" s="1"/>
  <c r="K121" s="1"/>
  <c r="H121" s="1"/>
  <c r="M122" s="1"/>
  <c r="O122" s="1"/>
  <c r="K122" s="1"/>
  <c r="H122" s="1"/>
  <c r="M123" s="1"/>
  <c r="O123" s="1"/>
  <c r="K123" s="1"/>
  <c r="M37" i="26"/>
  <c r="O37" s="1"/>
  <c r="K37" s="1"/>
  <c r="W38" i="13"/>
  <c r="J39"/>
  <c r="W39" s="1"/>
  <c r="AI38"/>
  <c r="H52" i="29" l="1"/>
  <c r="H123" i="27"/>
  <c r="M124" s="1"/>
  <c r="O124" s="1"/>
  <c r="K124" s="1"/>
  <c r="H37" i="26"/>
  <c r="M38" s="1"/>
  <c r="Z38" s="1"/>
  <c r="H53" i="29" l="1"/>
  <c r="H124" i="27"/>
  <c r="M125" s="1"/>
  <c r="O125" s="1"/>
  <c r="K125" s="1"/>
  <c r="Z41"/>
  <c r="O38" i="26"/>
  <c r="K38" s="1"/>
  <c r="H38" s="1"/>
  <c r="Z54" i="29" l="1"/>
  <c r="H125" i="27"/>
  <c r="M126" s="1"/>
  <c r="O126" s="1"/>
  <c r="K126" s="1"/>
  <c r="M39" i="26"/>
  <c r="O39" s="1"/>
  <c r="K39" s="1"/>
  <c r="H54" i="29" l="1"/>
  <c r="H126" i="27"/>
  <c r="M127" s="1"/>
  <c r="O127" s="1"/>
  <c r="K127" s="1"/>
  <c r="H39" i="26"/>
  <c r="M40" s="1"/>
  <c r="Z40" s="1"/>
  <c r="AB37" i="12"/>
  <c r="AB37" i="11"/>
  <c r="AC37" i="12"/>
  <c r="AC37" i="11"/>
  <c r="AK37" i="12"/>
  <c r="AJ37"/>
  <c r="AH37"/>
  <c r="AJ20"/>
  <c r="AK20"/>
  <c r="G45"/>
  <c r="G44"/>
  <c r="G43"/>
  <c r="AC38"/>
  <c r="P38"/>
  <c r="AB38"/>
  <c r="L37"/>
  <c r="AA36"/>
  <c r="L36"/>
  <c r="B36"/>
  <c r="AA35"/>
  <c r="L35"/>
  <c r="AA34"/>
  <c r="L34"/>
  <c r="B34"/>
  <c r="AA33"/>
  <c r="L33"/>
  <c r="AA32"/>
  <c r="L32"/>
  <c r="B32"/>
  <c r="AA31"/>
  <c r="L31"/>
  <c r="AA30"/>
  <c r="L30"/>
  <c r="B30"/>
  <c r="AA29"/>
  <c r="L29"/>
  <c r="AA28"/>
  <c r="L28"/>
  <c r="B28"/>
  <c r="AA27"/>
  <c r="L27"/>
  <c r="AA26"/>
  <c r="L26"/>
  <c r="B26"/>
  <c r="AA25"/>
  <c r="L25"/>
  <c r="AA24"/>
  <c r="L24"/>
  <c r="B24"/>
  <c r="AA23"/>
  <c r="L23"/>
  <c r="AA22"/>
  <c r="L22"/>
  <c r="B22"/>
  <c r="AA21"/>
  <c r="L21"/>
  <c r="AA20"/>
  <c r="L20"/>
  <c r="B20"/>
  <c r="AA19"/>
  <c r="L19"/>
  <c r="AA18"/>
  <c r="L18"/>
  <c r="B18"/>
  <c r="AA17"/>
  <c r="L17"/>
  <c r="AA16"/>
  <c r="L16"/>
  <c r="B16"/>
  <c r="AA15"/>
  <c r="L15"/>
  <c r="AA14"/>
  <c r="L14"/>
  <c r="B14"/>
  <c r="AA13"/>
  <c r="J13"/>
  <c r="I13"/>
  <c r="I15" s="1"/>
  <c r="B13"/>
  <c r="AP20" i="11"/>
  <c r="AK20"/>
  <c r="AJ20"/>
  <c r="AH19"/>
  <c r="AA36"/>
  <c r="AA34"/>
  <c r="AA32"/>
  <c r="AA30"/>
  <c r="AA28"/>
  <c r="AA26"/>
  <c r="AA24"/>
  <c r="AA22"/>
  <c r="AA20"/>
  <c r="AA18"/>
  <c r="AA14"/>
  <c r="AA13"/>
  <c r="G45"/>
  <c r="G44"/>
  <c r="G43"/>
  <c r="P38"/>
  <c r="L37"/>
  <c r="L36"/>
  <c r="B36"/>
  <c r="L35"/>
  <c r="L34"/>
  <c r="B34"/>
  <c r="L33"/>
  <c r="L32"/>
  <c r="B32"/>
  <c r="L31"/>
  <c r="L30"/>
  <c r="B30"/>
  <c r="L29"/>
  <c r="L28"/>
  <c r="B28"/>
  <c r="L27"/>
  <c r="L26"/>
  <c r="B26"/>
  <c r="L25"/>
  <c r="L24"/>
  <c r="B24"/>
  <c r="L23"/>
  <c r="L22"/>
  <c r="B22"/>
  <c r="L21"/>
  <c r="L20"/>
  <c r="B20"/>
  <c r="L19"/>
  <c r="L18"/>
  <c r="B18"/>
  <c r="L17"/>
  <c r="L16"/>
  <c r="L15"/>
  <c r="L14"/>
  <c r="B14"/>
  <c r="I13"/>
  <c r="I15" s="1"/>
  <c r="B13"/>
  <c r="G46" i="10"/>
  <c r="G45"/>
  <c r="G44"/>
  <c r="P39"/>
  <c r="L38"/>
  <c r="L37"/>
  <c r="B37"/>
  <c r="L36"/>
  <c r="L35"/>
  <c r="B35"/>
  <c r="L34"/>
  <c r="L33"/>
  <c r="B33"/>
  <c r="L32"/>
  <c r="L31"/>
  <c r="B31"/>
  <c r="L30"/>
  <c r="L29"/>
  <c r="B29"/>
  <c r="L28"/>
  <c r="L27"/>
  <c r="B27"/>
  <c r="L26"/>
  <c r="L25"/>
  <c r="B25"/>
  <c r="L24"/>
  <c r="L23"/>
  <c r="B23"/>
  <c r="L22"/>
  <c r="L21"/>
  <c r="B21"/>
  <c r="L20"/>
  <c r="L19"/>
  <c r="B19"/>
  <c r="L18"/>
  <c r="L17"/>
  <c r="B17"/>
  <c r="L16"/>
  <c r="C39"/>
  <c r="Z15"/>
  <c r="L15"/>
  <c r="D15"/>
  <c r="N14"/>
  <c r="V14" s="1"/>
  <c r="L14"/>
  <c r="B14"/>
  <c r="J13"/>
  <c r="N13" s="1"/>
  <c r="I13"/>
  <c r="AA15" s="1"/>
  <c r="B13"/>
  <c r="B13" i="4"/>
  <c r="I13"/>
  <c r="J13"/>
  <c r="N13" s="1"/>
  <c r="N38" s="1"/>
  <c r="B14"/>
  <c r="I14"/>
  <c r="L14"/>
  <c r="N14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6" s="1"/>
  <c r="J37" s="1"/>
  <c r="B15"/>
  <c r="I15"/>
  <c r="L15"/>
  <c r="N15"/>
  <c r="B16"/>
  <c r="I16"/>
  <c r="L16"/>
  <c r="N16"/>
  <c r="B17"/>
  <c r="I17"/>
  <c r="L17"/>
  <c r="N17"/>
  <c r="B18"/>
  <c r="I18"/>
  <c r="L18"/>
  <c r="N18"/>
  <c r="B19"/>
  <c r="I19"/>
  <c r="L19"/>
  <c r="N19"/>
  <c r="B20"/>
  <c r="I20"/>
  <c r="L20"/>
  <c r="N20"/>
  <c r="B21"/>
  <c r="I21"/>
  <c r="L21"/>
  <c r="N21"/>
  <c r="B22"/>
  <c r="I22"/>
  <c r="L22"/>
  <c r="N22"/>
  <c r="B23"/>
  <c r="I23"/>
  <c r="L23"/>
  <c r="N23"/>
  <c r="B24"/>
  <c r="I24"/>
  <c r="L24"/>
  <c r="N24"/>
  <c r="B25"/>
  <c r="I25"/>
  <c r="L25"/>
  <c r="N25"/>
  <c r="B26"/>
  <c r="I26"/>
  <c r="L26"/>
  <c r="N26"/>
  <c r="B27"/>
  <c r="I27"/>
  <c r="L27"/>
  <c r="N27"/>
  <c r="B28"/>
  <c r="I28"/>
  <c r="L28"/>
  <c r="N28"/>
  <c r="B29"/>
  <c r="I29"/>
  <c r="L29"/>
  <c r="N29"/>
  <c r="B30"/>
  <c r="I30"/>
  <c r="L30"/>
  <c r="N30"/>
  <c r="B31"/>
  <c r="I31"/>
  <c r="L31"/>
  <c r="N31"/>
  <c r="B32"/>
  <c r="I32"/>
  <c r="L32"/>
  <c r="N32"/>
  <c r="B33"/>
  <c r="I33"/>
  <c r="L33"/>
  <c r="N33"/>
  <c r="B34"/>
  <c r="I34"/>
  <c r="L34"/>
  <c r="N34"/>
  <c r="B35"/>
  <c r="I35"/>
  <c r="L35"/>
  <c r="N35"/>
  <c r="B36"/>
  <c r="I36"/>
  <c r="L36"/>
  <c r="N36"/>
  <c r="B37"/>
  <c r="I37"/>
  <c r="L37"/>
  <c r="N37"/>
  <c r="B38"/>
  <c r="C38"/>
  <c r="D38"/>
  <c r="G48" i="5"/>
  <c r="G47"/>
  <c r="G46"/>
  <c r="P41"/>
  <c r="L40"/>
  <c r="L39"/>
  <c r="C39"/>
  <c r="B39" s="1"/>
  <c r="L38"/>
  <c r="L37"/>
  <c r="C37"/>
  <c r="B37" s="1"/>
  <c r="L36"/>
  <c r="L35"/>
  <c r="C35"/>
  <c r="B35" s="1"/>
  <c r="L34"/>
  <c r="L33"/>
  <c r="C33"/>
  <c r="B33" s="1"/>
  <c r="L32"/>
  <c r="L31"/>
  <c r="C31"/>
  <c r="B31" s="1"/>
  <c r="L30"/>
  <c r="L29"/>
  <c r="C29"/>
  <c r="B29" s="1"/>
  <c r="L28"/>
  <c r="L27"/>
  <c r="C27"/>
  <c r="B27" s="1"/>
  <c r="L26"/>
  <c r="L25"/>
  <c r="C25"/>
  <c r="B25" s="1"/>
  <c r="L24"/>
  <c r="L23"/>
  <c r="C23"/>
  <c r="B23" s="1"/>
  <c r="L22"/>
  <c r="L21"/>
  <c r="C21"/>
  <c r="C41" s="1"/>
  <c r="N20"/>
  <c r="J20"/>
  <c r="I20"/>
  <c r="B20"/>
  <c r="X17"/>
  <c r="W17"/>
  <c r="V17"/>
  <c r="W16"/>
  <c r="V16"/>
  <c r="U16"/>
  <c r="T16"/>
  <c r="S16"/>
  <c r="Q16"/>
  <c r="X15"/>
  <c r="W15"/>
  <c r="V15"/>
  <c r="U15"/>
  <c r="T15"/>
  <c r="X14"/>
  <c r="W14"/>
  <c r="V14"/>
  <c r="U14"/>
  <c r="T14"/>
  <c r="S13"/>
  <c r="G47" i="2"/>
  <c r="G46"/>
  <c r="G45"/>
  <c r="P40"/>
  <c r="L39"/>
  <c r="L38"/>
  <c r="C38"/>
  <c r="B38" s="1"/>
  <c r="L37"/>
  <c r="L36"/>
  <c r="C36"/>
  <c r="B36" s="1"/>
  <c r="L35"/>
  <c r="L34"/>
  <c r="C34"/>
  <c r="B34" s="1"/>
  <c r="L33"/>
  <c r="L32"/>
  <c r="C32"/>
  <c r="B32" s="1"/>
  <c r="L31"/>
  <c r="L30"/>
  <c r="C30"/>
  <c r="B30" s="1"/>
  <c r="L29"/>
  <c r="L28"/>
  <c r="C28"/>
  <c r="B28" s="1"/>
  <c r="L27"/>
  <c r="L26"/>
  <c r="C26"/>
  <c r="B26" s="1"/>
  <c r="L25"/>
  <c r="L24"/>
  <c r="C24"/>
  <c r="B24" s="1"/>
  <c r="L23"/>
  <c r="L22"/>
  <c r="C22"/>
  <c r="B22" s="1"/>
  <c r="L21"/>
  <c r="L20"/>
  <c r="C20"/>
  <c r="B20" s="1"/>
  <c r="A19"/>
  <c r="W16"/>
  <c r="T16"/>
  <c r="V16"/>
  <c r="Q16"/>
  <c r="S16"/>
  <c r="W15"/>
  <c r="T15"/>
  <c r="V15"/>
  <c r="U15"/>
  <c r="C40"/>
  <c r="X14"/>
  <c r="T14"/>
  <c r="V14"/>
  <c r="U14"/>
  <c r="W14"/>
  <c r="G45" i="4"/>
  <c r="G44"/>
  <c r="G43"/>
  <c r="P38"/>
  <c r="H55" i="29" l="1"/>
  <c r="H127" i="27"/>
  <c r="M128" s="1"/>
  <c r="O128" s="1"/>
  <c r="K128" s="1"/>
  <c r="Z43"/>
  <c r="O40" i="26"/>
  <c r="K40" s="1"/>
  <c r="H40" s="1"/>
  <c r="C38" i="12"/>
  <c r="D17"/>
  <c r="B17" s="1"/>
  <c r="N16"/>
  <c r="V16" s="1"/>
  <c r="I16"/>
  <c r="I14"/>
  <c r="N15" s="1"/>
  <c r="D15"/>
  <c r="N13"/>
  <c r="N14"/>
  <c r="V14" s="1"/>
  <c r="AA37"/>
  <c r="AA38" s="1"/>
  <c r="AH20" i="11"/>
  <c r="AB38"/>
  <c r="J13"/>
  <c r="AA17"/>
  <c r="AA16"/>
  <c r="D17"/>
  <c r="B17" s="1"/>
  <c r="I16"/>
  <c r="N13"/>
  <c r="I14"/>
  <c r="N15" s="1"/>
  <c r="N14"/>
  <c r="V14" s="1"/>
  <c r="D15"/>
  <c r="C38"/>
  <c r="B16"/>
  <c r="N16"/>
  <c r="V16" s="1"/>
  <c r="S13" i="10"/>
  <c r="J14"/>
  <c r="B15"/>
  <c r="I14"/>
  <c r="N15" s="1"/>
  <c r="I15"/>
  <c r="B16"/>
  <c r="N21" i="5"/>
  <c r="V21" s="1"/>
  <c r="J21"/>
  <c r="I21"/>
  <c r="D22"/>
  <c r="B21"/>
  <c r="L41"/>
  <c r="U16" i="2"/>
  <c r="V17"/>
  <c r="X17"/>
  <c r="S13"/>
  <c r="X15"/>
  <c r="Z56" i="29" l="1"/>
  <c r="H128" i="27"/>
  <c r="M129" s="1"/>
  <c r="O129" s="1"/>
  <c r="K129" s="1"/>
  <c r="M41" i="26"/>
  <c r="O41" s="1"/>
  <c r="K41" s="1"/>
  <c r="AH20" i="12"/>
  <c r="AP21" i="11"/>
  <c r="S13" i="12"/>
  <c r="S16"/>
  <c r="V15"/>
  <c r="I17"/>
  <c r="N17"/>
  <c r="J14"/>
  <c r="B15"/>
  <c r="AH21" i="11"/>
  <c r="AA15"/>
  <c r="S13"/>
  <c r="J14"/>
  <c r="B15"/>
  <c r="S16"/>
  <c r="V15"/>
  <c r="I17"/>
  <c r="N17"/>
  <c r="I17" i="10"/>
  <c r="N16"/>
  <c r="V16" s="1"/>
  <c r="D18"/>
  <c r="N17"/>
  <c r="V17" s="1"/>
  <c r="I16"/>
  <c r="V15"/>
  <c r="S16"/>
  <c r="J15"/>
  <c r="W14"/>
  <c r="S21" i="5"/>
  <c r="B22"/>
  <c r="W21"/>
  <c r="N22"/>
  <c r="I22"/>
  <c r="W14" i="4"/>
  <c r="H56" i="29" l="1"/>
  <c r="H129" i="27"/>
  <c r="M130" s="1"/>
  <c r="O130" s="1"/>
  <c r="K130" s="1"/>
  <c r="H130" s="1"/>
  <c r="M131" s="1"/>
  <c r="O131" s="1"/>
  <c r="K131" s="1"/>
  <c r="H131" s="1"/>
  <c r="M132" s="1"/>
  <c r="O132" s="1"/>
  <c r="K132" s="1"/>
  <c r="H132" s="1"/>
  <c r="M133" s="1"/>
  <c r="O133" s="1"/>
  <c r="K133" s="1"/>
  <c r="H133" s="1"/>
  <c r="M134" s="1"/>
  <c r="O134" s="1"/>
  <c r="K134" s="1"/>
  <c r="H134" s="1"/>
  <c r="M135" s="1"/>
  <c r="O135" s="1"/>
  <c r="K135" s="1"/>
  <c r="H41" i="26"/>
  <c r="M42" s="1"/>
  <c r="Z42" s="1"/>
  <c r="AP22" i="11"/>
  <c r="AH21" i="12"/>
  <c r="I18"/>
  <c r="D19"/>
  <c r="N18"/>
  <c r="V18" s="1"/>
  <c r="J15"/>
  <c r="W14"/>
  <c r="V17"/>
  <c r="AH22" i="11"/>
  <c r="AK21"/>
  <c r="N18"/>
  <c r="V18" s="1"/>
  <c r="D19"/>
  <c r="I18"/>
  <c r="W14"/>
  <c r="J15"/>
  <c r="V17"/>
  <c r="J16" i="10"/>
  <c r="W15"/>
  <c r="N18"/>
  <c r="I18"/>
  <c r="B18"/>
  <c r="S13" i="4"/>
  <c r="D24" i="5"/>
  <c r="I23"/>
  <c r="N23"/>
  <c r="V23" s="1"/>
  <c r="V22"/>
  <c r="J22"/>
  <c r="V16" i="4"/>
  <c r="W16"/>
  <c r="W15"/>
  <c r="V14"/>
  <c r="H57" i="29" l="1"/>
  <c r="H135" i="27"/>
  <c r="M136" s="1"/>
  <c r="O136" s="1"/>
  <c r="K136" s="1"/>
  <c r="H136" s="1"/>
  <c r="M137" s="1"/>
  <c r="O137" s="1"/>
  <c r="K137" s="1"/>
  <c r="Z45"/>
  <c r="O42" i="26"/>
  <c r="K42" s="1"/>
  <c r="H42" s="1"/>
  <c r="S18" i="12"/>
  <c r="AK21"/>
  <c r="AP22"/>
  <c r="AH22"/>
  <c r="AP23" i="11"/>
  <c r="S18"/>
  <c r="I17" i="2"/>
  <c r="B19" i="12"/>
  <c r="J16"/>
  <c r="W15"/>
  <c r="N19"/>
  <c r="I19"/>
  <c r="AH23" i="11"/>
  <c r="AA19"/>
  <c r="B19"/>
  <c r="W15"/>
  <c r="J16"/>
  <c r="N19"/>
  <c r="AO19" s="1"/>
  <c r="I19"/>
  <c r="AG19" s="1"/>
  <c r="V18" i="10"/>
  <c r="J17"/>
  <c r="W16"/>
  <c r="D20"/>
  <c r="I19"/>
  <c r="N19"/>
  <c r="S23" i="5"/>
  <c r="I24"/>
  <c r="N24"/>
  <c r="J23"/>
  <c r="W22"/>
  <c r="B24"/>
  <c r="V15" i="4"/>
  <c r="S16"/>
  <c r="W18"/>
  <c r="V18"/>
  <c r="W17"/>
  <c r="Z58" i="29" l="1"/>
  <c r="H137" i="27"/>
  <c r="M138" s="1"/>
  <c r="O138" s="1"/>
  <c r="K138" s="1"/>
  <c r="H138" s="1"/>
  <c r="M139" s="1"/>
  <c r="O139" s="1"/>
  <c r="K139" s="1"/>
  <c r="H139" s="1"/>
  <c r="M140" s="1"/>
  <c r="O140" s="1"/>
  <c r="K140" s="1"/>
  <c r="H140" s="1"/>
  <c r="M141" s="1"/>
  <c r="O141" s="1"/>
  <c r="K141" s="1"/>
  <c r="H141" s="1"/>
  <c r="M142" s="1"/>
  <c r="O142" s="1"/>
  <c r="K142" s="1"/>
  <c r="H142" s="1"/>
  <c r="M143" s="1"/>
  <c r="O143" s="1"/>
  <c r="K143" s="1"/>
  <c r="H143" s="1"/>
  <c r="M144" s="1"/>
  <c r="O144" s="1"/>
  <c r="K144" s="1"/>
  <c r="H144" s="1"/>
  <c r="M145" s="1"/>
  <c r="O145" s="1"/>
  <c r="K145" s="1"/>
  <c r="H145" s="1"/>
  <c r="M146" s="1"/>
  <c r="O146" s="1"/>
  <c r="K146" s="1"/>
  <c r="H146" s="1"/>
  <c r="M147" s="1"/>
  <c r="O147" s="1"/>
  <c r="K147" s="1"/>
  <c r="H147" s="1"/>
  <c r="M148" s="1"/>
  <c r="O148" s="1"/>
  <c r="K148" s="1"/>
  <c r="H148" s="1"/>
  <c r="M149" s="1"/>
  <c r="O149" s="1"/>
  <c r="K149" s="1"/>
  <c r="M43" i="26"/>
  <c r="O43" s="1"/>
  <c r="K43" s="1"/>
  <c r="AH23" i="12"/>
  <c r="AP24" i="11"/>
  <c r="J17" i="2"/>
  <c r="W17" s="1"/>
  <c r="D21"/>
  <c r="B21" s="1"/>
  <c r="I19"/>
  <c r="I20"/>
  <c r="N20"/>
  <c r="I20" i="12"/>
  <c r="D21"/>
  <c r="N20"/>
  <c r="S20" s="1"/>
  <c r="V19"/>
  <c r="J17"/>
  <c r="W16"/>
  <c r="AH24" i="11"/>
  <c r="AK22"/>
  <c r="D21"/>
  <c r="I20"/>
  <c r="AG20" s="1"/>
  <c r="N20"/>
  <c r="W16"/>
  <c r="J17"/>
  <c r="V19"/>
  <c r="I20" i="10"/>
  <c r="N20"/>
  <c r="V19"/>
  <c r="B20"/>
  <c r="J18"/>
  <c r="W17"/>
  <c r="S19"/>
  <c r="W23" i="5"/>
  <c r="J24"/>
  <c r="N25"/>
  <c r="V25" s="1"/>
  <c r="D26"/>
  <c r="I25"/>
  <c r="V24"/>
  <c r="V20" i="4"/>
  <c r="S20"/>
  <c r="V19"/>
  <c r="S18"/>
  <c r="V17"/>
  <c r="H58" i="29" l="1"/>
  <c r="H149" i="27"/>
  <c r="M150" s="1"/>
  <c r="O150" s="1"/>
  <c r="K150" s="1"/>
  <c r="H150" s="1"/>
  <c r="M151" s="1"/>
  <c r="O151" s="1"/>
  <c r="K151" s="1"/>
  <c r="H151" s="1"/>
  <c r="M152" s="1"/>
  <c r="O152" s="1"/>
  <c r="K152" s="1"/>
  <c r="H152" s="1"/>
  <c r="M153" s="1"/>
  <c r="O153" s="1"/>
  <c r="K153" s="1"/>
  <c r="H153" s="1"/>
  <c r="M154" s="1"/>
  <c r="O154" s="1"/>
  <c r="K154" s="1"/>
  <c r="H154" s="1"/>
  <c r="M155" s="1"/>
  <c r="O155" s="1"/>
  <c r="K155" s="1"/>
  <c r="H155" s="1"/>
  <c r="M156" s="1"/>
  <c r="O156" s="1"/>
  <c r="K156" s="1"/>
  <c r="H156" s="1"/>
  <c r="M157" s="1"/>
  <c r="O157" s="1"/>
  <c r="K157" s="1"/>
  <c r="H43" i="26"/>
  <c r="M44" s="1"/>
  <c r="Z44" s="1"/>
  <c r="AK22" i="12"/>
  <c r="AH24"/>
  <c r="AP25" i="11"/>
  <c r="AG20" i="12"/>
  <c r="V20" i="2"/>
  <c r="S20"/>
  <c r="N21"/>
  <c r="I21"/>
  <c r="J19"/>
  <c r="J20" s="1"/>
  <c r="N19"/>
  <c r="B21" i="12"/>
  <c r="N21"/>
  <c r="I21"/>
  <c r="W17"/>
  <c r="J18"/>
  <c r="V20"/>
  <c r="AK23" i="11"/>
  <c r="AK23" i="12" s="1"/>
  <c r="AH25" i="11"/>
  <c r="V20"/>
  <c r="AO20"/>
  <c r="AA21"/>
  <c r="S20"/>
  <c r="I21"/>
  <c r="AG21" s="1"/>
  <c r="N21"/>
  <c r="AO21" s="1"/>
  <c r="J18"/>
  <c r="W17"/>
  <c r="B21"/>
  <c r="V20" i="10"/>
  <c r="J19"/>
  <c r="W18"/>
  <c r="N21"/>
  <c r="V21" s="1"/>
  <c r="D22"/>
  <c r="I21"/>
  <c r="W19" i="4"/>
  <c r="S25" i="5"/>
  <c r="B26"/>
  <c r="J25"/>
  <c r="W24"/>
  <c r="N26"/>
  <c r="I26"/>
  <c r="H59" i="29" l="1"/>
  <c r="H157" i="27"/>
  <c r="M158" s="1"/>
  <c r="O158" s="1"/>
  <c r="K158" s="1"/>
  <c r="H158" s="1"/>
  <c r="M159" s="1"/>
  <c r="O159" s="1"/>
  <c r="K159" s="1"/>
  <c r="Z47"/>
  <c r="O44" i="26"/>
  <c r="K44" s="1"/>
  <c r="H44" s="1"/>
  <c r="AP26" i="11"/>
  <c r="AH25" i="12"/>
  <c r="AG21"/>
  <c r="W20" i="2"/>
  <c r="J21"/>
  <c r="I22"/>
  <c r="N22"/>
  <c r="V22" s="1"/>
  <c r="D23"/>
  <c r="B23" s="1"/>
  <c r="V21"/>
  <c r="J19" i="12"/>
  <c r="W18"/>
  <c r="D23"/>
  <c r="N22"/>
  <c r="S22" s="1"/>
  <c r="I22"/>
  <c r="V21"/>
  <c r="AH26" i="11"/>
  <c r="AK24"/>
  <c r="AK24" i="12" s="1"/>
  <c r="V21" i="11"/>
  <c r="J19"/>
  <c r="AI19" s="1"/>
  <c r="W18"/>
  <c r="N22"/>
  <c r="D23"/>
  <c r="I22"/>
  <c r="AG22" s="1"/>
  <c r="N22" i="10"/>
  <c r="I22"/>
  <c r="W19"/>
  <c r="J20"/>
  <c r="B22"/>
  <c r="S21"/>
  <c r="W20" i="4"/>
  <c r="D28" i="5"/>
  <c r="I27"/>
  <c r="N27"/>
  <c r="V27" s="1"/>
  <c r="V26"/>
  <c r="J26"/>
  <c r="W25"/>
  <c r="V22" i="4"/>
  <c r="S22"/>
  <c r="V21"/>
  <c r="Z60" i="29" l="1"/>
  <c r="H159" i="27"/>
  <c r="M160" s="1"/>
  <c r="O160" s="1"/>
  <c r="K160" s="1"/>
  <c r="M45" i="26"/>
  <c r="O45" s="1"/>
  <c r="K45" s="1"/>
  <c r="H45" s="1"/>
  <c r="M46" s="1"/>
  <c r="AH26" i="12"/>
  <c r="AP27" i="11"/>
  <c r="AG22" i="12"/>
  <c r="S22" i="2"/>
  <c r="N23"/>
  <c r="I23"/>
  <c r="W21"/>
  <c r="J22"/>
  <c r="I23" i="12"/>
  <c r="N23"/>
  <c r="V22"/>
  <c r="B23"/>
  <c r="J20"/>
  <c r="W19"/>
  <c r="AK25" i="11"/>
  <c r="AK25" i="12" s="1"/>
  <c r="AH27" i="11"/>
  <c r="V22"/>
  <c r="AO22"/>
  <c r="AA23"/>
  <c r="N23"/>
  <c r="AO23" s="1"/>
  <c r="I23"/>
  <c r="AG23" s="1"/>
  <c r="AG23" i="12" s="1"/>
  <c r="J20" i="11"/>
  <c r="AI20" s="1"/>
  <c r="W19"/>
  <c r="B23"/>
  <c r="S22"/>
  <c r="J21" i="10"/>
  <c r="W20"/>
  <c r="D24"/>
  <c r="I23"/>
  <c r="N23"/>
  <c r="V23" s="1"/>
  <c r="V22"/>
  <c r="W21" i="4"/>
  <c r="S27" i="5"/>
  <c r="J27"/>
  <c r="W26"/>
  <c r="I28"/>
  <c r="N28"/>
  <c r="B28"/>
  <c r="V23" i="4"/>
  <c r="H60" i="29" l="1"/>
  <c r="K161" i="27"/>
  <c r="H161" s="1"/>
  <c r="M162" s="1"/>
  <c r="O162" s="1"/>
  <c r="K162" s="1"/>
  <c r="H162" s="1"/>
  <c r="M163" s="1"/>
  <c r="O163" s="1"/>
  <c r="K163" s="1"/>
  <c r="H160"/>
  <c r="M161" s="1"/>
  <c r="O161" s="1"/>
  <c r="O46" i="26"/>
  <c r="K46" s="1"/>
  <c r="Z46"/>
  <c r="AH27" i="12"/>
  <c r="AP28" i="11"/>
  <c r="AK26"/>
  <c r="AK26" i="12" s="1"/>
  <c r="AJ21" i="11"/>
  <c r="AI20" i="12"/>
  <c r="AO22"/>
  <c r="I24" i="2"/>
  <c r="N24"/>
  <c r="V24" s="1"/>
  <c r="D25"/>
  <c r="B25" s="1"/>
  <c r="V23"/>
  <c r="J23"/>
  <c r="W22"/>
  <c r="J21" i="12"/>
  <c r="W20"/>
  <c r="I24"/>
  <c r="D25"/>
  <c r="N24"/>
  <c r="S24" s="1"/>
  <c r="V23"/>
  <c r="AH28" i="11"/>
  <c r="AK27"/>
  <c r="AK27" i="12" s="1"/>
  <c r="D25" i="11"/>
  <c r="I24"/>
  <c r="AG24" s="1"/>
  <c r="AG24" i="12" s="1"/>
  <c r="N24" i="11"/>
  <c r="W20"/>
  <c r="J21"/>
  <c r="AI21" s="1"/>
  <c r="V23"/>
  <c r="S23" i="10"/>
  <c r="I24"/>
  <c r="N24"/>
  <c r="B24"/>
  <c r="J22"/>
  <c r="W21"/>
  <c r="W22" i="4"/>
  <c r="N29" i="5"/>
  <c r="V29" s="1"/>
  <c r="D30"/>
  <c r="I29"/>
  <c r="W27"/>
  <c r="J28"/>
  <c r="V28"/>
  <c r="H61" i="29" l="1"/>
  <c r="H163" i="27"/>
  <c r="M164" s="1"/>
  <c r="O164" s="1"/>
  <c r="K164" s="1"/>
  <c r="H164" s="1"/>
  <c r="M165" s="1"/>
  <c r="O165" s="1"/>
  <c r="K165" s="1"/>
  <c r="Z49"/>
  <c r="H46" i="26"/>
  <c r="S24" i="2"/>
  <c r="AH28" i="12"/>
  <c r="AP29" i="11"/>
  <c r="AI21" i="12"/>
  <c r="AJ21"/>
  <c r="AJ22" i="11"/>
  <c r="J24" i="2"/>
  <c r="W23"/>
  <c r="N25"/>
  <c r="I25"/>
  <c r="B25" i="12"/>
  <c r="J22"/>
  <c r="W21"/>
  <c r="V24"/>
  <c r="N25"/>
  <c r="I25"/>
  <c r="AH29" i="11"/>
  <c r="AK28"/>
  <c r="AK28" i="12" s="1"/>
  <c r="V24" i="11"/>
  <c r="AO24"/>
  <c r="AA25"/>
  <c r="S24"/>
  <c r="N25"/>
  <c r="AO25" s="1"/>
  <c r="I25"/>
  <c r="AG25" s="1"/>
  <c r="AG25" i="12" s="1"/>
  <c r="J22" i="11"/>
  <c r="AI22" s="1"/>
  <c r="W21"/>
  <c r="B25"/>
  <c r="J23" i="10"/>
  <c r="W22"/>
  <c r="N25"/>
  <c r="V25" s="1"/>
  <c r="D26"/>
  <c r="I25"/>
  <c r="V24"/>
  <c r="W23" i="4"/>
  <c r="J29" i="5"/>
  <c r="W28"/>
  <c r="N30"/>
  <c r="I30"/>
  <c r="S29"/>
  <c r="B30"/>
  <c r="V24" i="4"/>
  <c r="S24"/>
  <c r="Z62" i="29" l="1"/>
  <c r="H165" i="27"/>
  <c r="M47" i="26"/>
  <c r="O47" s="1"/>
  <c r="K47" s="1"/>
  <c r="H47" s="1"/>
  <c r="M48" s="1"/>
  <c r="AP30" i="11"/>
  <c r="AH29" i="12"/>
  <c r="AJ23" i="11"/>
  <c r="AJ22" i="12"/>
  <c r="AI22"/>
  <c r="S25" i="10"/>
  <c r="B26"/>
  <c r="V25" i="2"/>
  <c r="W24"/>
  <c r="J25"/>
  <c r="I26"/>
  <c r="N26"/>
  <c r="V26" s="1"/>
  <c r="D27"/>
  <c r="B27" s="1"/>
  <c r="D27" i="12"/>
  <c r="B27" s="1"/>
  <c r="N26"/>
  <c r="S26" s="1"/>
  <c r="I26"/>
  <c r="V25"/>
  <c r="J23"/>
  <c r="W22"/>
  <c r="AH30" i="11"/>
  <c r="AK29"/>
  <c r="AK29" i="12" s="1"/>
  <c r="AA27" i="11"/>
  <c r="J23"/>
  <c r="AI23" s="1"/>
  <c r="AI23" i="12" s="1"/>
  <c r="W22" i="11"/>
  <c r="V25"/>
  <c r="D27"/>
  <c r="B27" s="1"/>
  <c r="I26"/>
  <c r="AG26" s="1"/>
  <c r="AG26" i="12" s="1"/>
  <c r="N26" i="11"/>
  <c r="N26" i="10"/>
  <c r="I26"/>
  <c r="W23"/>
  <c r="J24"/>
  <c r="W24" i="4"/>
  <c r="V30" i="5"/>
  <c r="J30"/>
  <c r="W29"/>
  <c r="N31"/>
  <c r="V31" s="1"/>
  <c r="D32"/>
  <c r="B32" s="1"/>
  <c r="I31"/>
  <c r="V26" i="4"/>
  <c r="V25"/>
  <c r="S26"/>
  <c r="H62" i="29" l="1"/>
  <c r="M166" i="27"/>
  <c r="M167" s="1"/>
  <c r="O48" i="26"/>
  <c r="K48" s="1"/>
  <c r="Z48"/>
  <c r="S26" i="2"/>
  <c r="AH30" i="12"/>
  <c r="AP31" i="11"/>
  <c r="AJ24"/>
  <c r="AJ23" i="12"/>
  <c r="N27" i="2"/>
  <c r="I27"/>
  <c r="W25"/>
  <c r="J26"/>
  <c r="W23" i="12"/>
  <c r="J24"/>
  <c r="I27"/>
  <c r="N27"/>
  <c r="V26"/>
  <c r="AH31" i="11"/>
  <c r="AK30"/>
  <c r="AK30" i="12" s="1"/>
  <c r="V26" i="11"/>
  <c r="AO26"/>
  <c r="I27"/>
  <c r="AG27" s="1"/>
  <c r="AG27" i="12" s="1"/>
  <c r="N27" i="11"/>
  <c r="AO27" s="1"/>
  <c r="S26"/>
  <c r="J24"/>
  <c r="AI24" s="1"/>
  <c r="AI24" i="12" s="1"/>
  <c r="W23" i="11"/>
  <c r="V26" i="10"/>
  <c r="J25"/>
  <c r="W24"/>
  <c r="D28"/>
  <c r="I27"/>
  <c r="N27"/>
  <c r="V27" s="1"/>
  <c r="W25" i="4"/>
  <c r="S31" i="5"/>
  <c r="J31"/>
  <c r="W30"/>
  <c r="N32"/>
  <c r="I32"/>
  <c r="V27" i="4"/>
  <c r="O166" i="27" l="1"/>
  <c r="O167" s="1"/>
  <c r="O169" s="1"/>
  <c r="H63" i="29"/>
  <c r="Z51" i="27"/>
  <c r="H48" i="26"/>
  <c r="AH31" i="12"/>
  <c r="AP32" i="11"/>
  <c r="AJ25"/>
  <c r="AJ24" i="12"/>
  <c r="B28" i="10"/>
  <c r="N28" i="2"/>
  <c r="V28" s="1"/>
  <c r="I28"/>
  <c r="D29"/>
  <c r="B29" s="1"/>
  <c r="W26"/>
  <c r="J27"/>
  <c r="V27"/>
  <c r="V27" i="12"/>
  <c r="J25"/>
  <c r="W24"/>
  <c r="I28"/>
  <c r="D29"/>
  <c r="B29" s="1"/>
  <c r="N28"/>
  <c r="S28" s="1"/>
  <c r="AH32" i="11"/>
  <c r="AK31"/>
  <c r="AK31" i="12" s="1"/>
  <c r="AA29" i="11"/>
  <c r="V27"/>
  <c r="W24"/>
  <c r="J25"/>
  <c r="AI25" s="1"/>
  <c r="AI25" i="12" s="1"/>
  <c r="D29" i="11"/>
  <c r="B29" s="1"/>
  <c r="N28"/>
  <c r="I28"/>
  <c r="AG28" s="1"/>
  <c r="AG28" i="12" s="1"/>
  <c r="I28" i="10"/>
  <c r="N28"/>
  <c r="J26"/>
  <c r="W25"/>
  <c r="S27"/>
  <c r="W26" i="4"/>
  <c r="V32" i="5"/>
  <c r="J32"/>
  <c r="W31"/>
  <c r="D34"/>
  <c r="B34" s="1"/>
  <c r="I33"/>
  <c r="N33"/>
  <c r="V33" s="1"/>
  <c r="M169" i="27" l="1"/>
  <c r="K166"/>
  <c r="H166" s="1"/>
  <c r="Z64" i="29"/>
  <c r="M49" i="26"/>
  <c r="O49" s="1"/>
  <c r="K49" s="1"/>
  <c r="H49" s="1"/>
  <c r="M50" s="1"/>
  <c r="S28" i="2"/>
  <c r="AH32" i="12"/>
  <c r="AP33" i="11"/>
  <c r="AJ26"/>
  <c r="AJ25" i="12"/>
  <c r="W27" i="2"/>
  <c r="J28"/>
  <c r="I29"/>
  <c r="N29"/>
  <c r="J26" i="12"/>
  <c r="W25"/>
  <c r="V28"/>
  <c r="N29"/>
  <c r="I29"/>
  <c r="AH33" i="11"/>
  <c r="AK32"/>
  <c r="AK32" i="12" s="1"/>
  <c r="V28" i="11"/>
  <c r="AO28"/>
  <c r="J26"/>
  <c r="AI26" s="1"/>
  <c r="AI26" i="12" s="1"/>
  <c r="W25" i="11"/>
  <c r="I29"/>
  <c r="AG29" s="1"/>
  <c r="AG29" i="12" s="1"/>
  <c r="N29" i="11"/>
  <c r="AO29" s="1"/>
  <c r="S28"/>
  <c r="J27" i="10"/>
  <c r="W26"/>
  <c r="V28"/>
  <c r="N29"/>
  <c r="V29" s="1"/>
  <c r="D30"/>
  <c r="I29"/>
  <c r="W27" i="4"/>
  <c r="I34" i="5"/>
  <c r="N34"/>
  <c r="J33"/>
  <c r="W32"/>
  <c r="S33"/>
  <c r="V28" i="4"/>
  <c r="S28"/>
  <c r="V29"/>
  <c r="H64" i="29" l="1"/>
  <c r="O50" i="26"/>
  <c r="K50" s="1"/>
  <c r="Z50"/>
  <c r="AP34" i="11"/>
  <c r="AH33" i="12"/>
  <c r="AJ27" i="11"/>
  <c r="AJ26" i="12"/>
  <c r="B30" i="10"/>
  <c r="I30" i="2"/>
  <c r="D31"/>
  <c r="B31" s="1"/>
  <c r="N30"/>
  <c r="V30" s="1"/>
  <c r="V29"/>
  <c r="J29"/>
  <c r="W28"/>
  <c r="J27" i="12"/>
  <c r="W26"/>
  <c r="D31"/>
  <c r="B31" s="1"/>
  <c r="N30"/>
  <c r="S30" s="1"/>
  <c r="I30"/>
  <c r="V29"/>
  <c r="AH34" i="11"/>
  <c r="AK33"/>
  <c r="AK33" i="12" s="1"/>
  <c r="AA31" i="11"/>
  <c r="V29"/>
  <c r="N30"/>
  <c r="D31"/>
  <c r="B31" s="1"/>
  <c r="I30"/>
  <c r="AG30" s="1"/>
  <c r="AG30" i="12" s="1"/>
  <c r="W26" i="11"/>
  <c r="J27"/>
  <c r="AI27" s="1"/>
  <c r="AI27" i="12" s="1"/>
  <c r="N30" i="10"/>
  <c r="I30"/>
  <c r="S29"/>
  <c r="W27"/>
  <c r="J28"/>
  <c r="W28" i="4"/>
  <c r="V34" i="5"/>
  <c r="W33"/>
  <c r="J34"/>
  <c r="N35"/>
  <c r="V35" s="1"/>
  <c r="D36"/>
  <c r="B36" s="1"/>
  <c r="I35"/>
  <c r="H65" i="29" l="1"/>
  <c r="Z53" i="27"/>
  <c r="H50" i="26"/>
  <c r="AH34" i="12"/>
  <c r="AP35" i="11"/>
  <c r="AJ28"/>
  <c r="AJ27" i="12"/>
  <c r="S30" i="2"/>
  <c r="J30"/>
  <c r="W29"/>
  <c r="I31"/>
  <c r="N31"/>
  <c r="W27" i="12"/>
  <c r="J28"/>
  <c r="I31"/>
  <c r="N31"/>
  <c r="V30"/>
  <c r="AH35" i="11"/>
  <c r="AK34"/>
  <c r="AK34" i="12" s="1"/>
  <c r="V30" i="11"/>
  <c r="AO30"/>
  <c r="J28"/>
  <c r="AI28" s="1"/>
  <c r="AI28" i="12" s="1"/>
  <c r="W27" i="11"/>
  <c r="N31"/>
  <c r="AO31" s="1"/>
  <c r="I31"/>
  <c r="AG31" s="1"/>
  <c r="AG31" i="12" s="1"/>
  <c r="S30" i="11"/>
  <c r="J29" i="10"/>
  <c r="W28"/>
  <c r="V30"/>
  <c r="N31"/>
  <c r="V31" s="1"/>
  <c r="D32"/>
  <c r="I31"/>
  <c r="W29" i="4"/>
  <c r="J35" i="5"/>
  <c r="W34"/>
  <c r="N36"/>
  <c r="I36"/>
  <c r="S35"/>
  <c r="V30" i="4"/>
  <c r="S30"/>
  <c r="Z66" i="29" l="1"/>
  <c r="M51" i="26"/>
  <c r="O51" s="1"/>
  <c r="K51" s="1"/>
  <c r="H51" s="1"/>
  <c r="M52" s="1"/>
  <c r="AH35" i="12"/>
  <c r="AP36" i="11"/>
  <c r="AJ29"/>
  <c r="AJ28" i="12"/>
  <c r="B32" i="10"/>
  <c r="V31" i="2"/>
  <c r="D33"/>
  <c r="B33" s="1"/>
  <c r="I32"/>
  <c r="N32"/>
  <c r="V32" s="1"/>
  <c r="J31"/>
  <c r="W30"/>
  <c r="D33" i="12"/>
  <c r="B33" s="1"/>
  <c r="N32"/>
  <c r="S32" s="1"/>
  <c r="I32"/>
  <c r="V31"/>
  <c r="J29"/>
  <c r="W28"/>
  <c r="AH36" i="11"/>
  <c r="AK35"/>
  <c r="AK35" i="12" s="1"/>
  <c r="AA33" i="11"/>
  <c r="V31"/>
  <c r="W28"/>
  <c r="J29"/>
  <c r="AI29" s="1"/>
  <c r="AI29" i="12" s="1"/>
  <c r="D33" i="11"/>
  <c r="B33" s="1"/>
  <c r="I32"/>
  <c r="AG32" s="1"/>
  <c r="AG32" i="12" s="1"/>
  <c r="N32" i="11"/>
  <c r="N32" i="10"/>
  <c r="I32"/>
  <c r="S31"/>
  <c r="J30"/>
  <c r="W29"/>
  <c r="W30" i="4"/>
  <c r="D38" i="5"/>
  <c r="B38" s="1"/>
  <c r="I37"/>
  <c r="N37"/>
  <c r="V37" s="1"/>
  <c r="V36"/>
  <c r="J36"/>
  <c r="W35"/>
  <c r="V31" i="4"/>
  <c r="V32"/>
  <c r="H66" i="29" l="1"/>
  <c r="O52" i="26"/>
  <c r="K52" s="1"/>
  <c r="Z52"/>
  <c r="AH36" i="12"/>
  <c r="AP37" i="11"/>
  <c r="AP38" s="1"/>
  <c r="AJ30"/>
  <c r="AJ29" i="12"/>
  <c r="J32" i="2"/>
  <c r="W31"/>
  <c r="N33"/>
  <c r="I33"/>
  <c r="O6" i="13"/>
  <c r="S32" i="2"/>
  <c r="V32" i="12"/>
  <c r="J30"/>
  <c r="W29"/>
  <c r="I33"/>
  <c r="N33"/>
  <c r="AK36" i="11"/>
  <c r="AK36" i="12" s="1"/>
  <c r="V32" i="11"/>
  <c r="AO32"/>
  <c r="I33"/>
  <c r="AG33" s="1"/>
  <c r="AG33" i="12" s="1"/>
  <c r="N33" i="11"/>
  <c r="AO33" s="1"/>
  <c r="J30"/>
  <c r="AI30" s="1"/>
  <c r="AI30" i="12" s="1"/>
  <c r="W29" i="11"/>
  <c r="S32"/>
  <c r="V32" i="10"/>
  <c r="J31"/>
  <c r="W30"/>
  <c r="D34"/>
  <c r="I33"/>
  <c r="N33"/>
  <c r="V33" s="1"/>
  <c r="W31" i="4"/>
  <c r="J37" i="5"/>
  <c r="W36"/>
  <c r="S37"/>
  <c r="I38"/>
  <c r="N38"/>
  <c r="V33" i="4"/>
  <c r="S32"/>
  <c r="H67" i="29" l="1"/>
  <c r="Z55" i="27"/>
  <c r="H52" i="26"/>
  <c r="AQ6" i="13"/>
  <c r="H28"/>
  <c r="K28" s="1"/>
  <c r="H34"/>
  <c r="K34" s="1"/>
  <c r="H38"/>
  <c r="K38" s="1"/>
  <c r="H29"/>
  <c r="K29" s="1"/>
  <c r="B21"/>
  <c r="H39"/>
  <c r="K39" s="1"/>
  <c r="H33"/>
  <c r="K33" s="1"/>
  <c r="H35"/>
  <c r="K35" s="1"/>
  <c r="H27"/>
  <c r="K27" s="1"/>
  <c r="H36"/>
  <c r="K36" s="1"/>
  <c r="H24"/>
  <c r="K24" s="1"/>
  <c r="H30"/>
  <c r="K30" s="1"/>
  <c r="H25"/>
  <c r="K25" s="1"/>
  <c r="H37"/>
  <c r="K37" s="1"/>
  <c r="H32"/>
  <c r="K32" s="1"/>
  <c r="H31"/>
  <c r="K31" s="1"/>
  <c r="H26"/>
  <c r="K26" s="1"/>
  <c r="AJ31" i="11"/>
  <c r="AJ30" i="12"/>
  <c r="B34" i="10"/>
  <c r="O6" i="2"/>
  <c r="D35"/>
  <c r="B35" s="1"/>
  <c r="I34"/>
  <c r="N34"/>
  <c r="V34" s="1"/>
  <c r="V33"/>
  <c r="J33"/>
  <c r="W32"/>
  <c r="D35" i="12"/>
  <c r="B35" s="1"/>
  <c r="N34"/>
  <c r="S34" s="1"/>
  <c r="I34"/>
  <c r="V33"/>
  <c r="J31"/>
  <c r="W30"/>
  <c r="AA35" i="11"/>
  <c r="V33"/>
  <c r="J31"/>
  <c r="AI31" s="1"/>
  <c r="AI31" i="12" s="1"/>
  <c r="W30" i="11"/>
  <c r="N34"/>
  <c r="D35"/>
  <c r="B35" s="1"/>
  <c r="I34"/>
  <c r="AG34" s="1"/>
  <c r="AG34" i="12" s="1"/>
  <c r="I34" i="10"/>
  <c r="N34"/>
  <c r="J32"/>
  <c r="W31"/>
  <c r="S33"/>
  <c r="W32" i="4"/>
  <c r="N39" i="5"/>
  <c r="V39" s="1"/>
  <c r="D40"/>
  <c r="I39"/>
  <c r="V38"/>
  <c r="W37"/>
  <c r="J38"/>
  <c r="Z68" i="29" l="1"/>
  <c r="M53" i="26"/>
  <c r="O53" s="1"/>
  <c r="K53" s="1"/>
  <c r="H53" s="1"/>
  <c r="M54" s="1"/>
  <c r="O39" i="13"/>
  <c r="M39" s="1"/>
  <c r="Q39" s="1"/>
  <c r="O31"/>
  <c r="AL31"/>
  <c r="O30"/>
  <c r="AL30"/>
  <c r="O35"/>
  <c r="AL35"/>
  <c r="O29"/>
  <c r="AL29"/>
  <c r="AE25"/>
  <c r="AE35"/>
  <c r="AM35" s="1"/>
  <c r="AE34"/>
  <c r="AE27"/>
  <c r="AE29"/>
  <c r="AE33"/>
  <c r="AE37"/>
  <c r="AE38"/>
  <c r="AE28"/>
  <c r="AE32"/>
  <c r="AE36"/>
  <c r="AE31"/>
  <c r="AE26"/>
  <c r="AE30"/>
  <c r="O26"/>
  <c r="AL26"/>
  <c r="AL25"/>
  <c r="O25"/>
  <c r="O27"/>
  <c r="AL27"/>
  <c r="O28"/>
  <c r="AL28"/>
  <c r="O37"/>
  <c r="AL37"/>
  <c r="O36"/>
  <c r="AL36"/>
  <c r="O34"/>
  <c r="AL34"/>
  <c r="O32"/>
  <c r="AL32"/>
  <c r="O33"/>
  <c r="AL33"/>
  <c r="O38"/>
  <c r="AL38"/>
  <c r="AF38" s="1"/>
  <c r="AJ32" i="11"/>
  <c r="AJ31" i="12"/>
  <c r="S34" i="2"/>
  <c r="W33"/>
  <c r="J34"/>
  <c r="N35"/>
  <c r="I35"/>
  <c r="I35" i="12"/>
  <c r="N35"/>
  <c r="W31"/>
  <c r="J32"/>
  <c r="V34"/>
  <c r="V34" i="11"/>
  <c r="AO34"/>
  <c r="N35"/>
  <c r="AO35" s="1"/>
  <c r="I35"/>
  <c r="AG35" s="1"/>
  <c r="AG35" i="12" s="1"/>
  <c r="J32" i="11"/>
  <c r="AI32" s="1"/>
  <c r="AI32" i="12" s="1"/>
  <c r="W31" i="11"/>
  <c r="S34"/>
  <c r="J33" i="10"/>
  <c r="W32"/>
  <c r="V34"/>
  <c r="N35"/>
  <c r="V35" s="1"/>
  <c r="D36"/>
  <c r="I35"/>
  <c r="W33" i="4"/>
  <c r="S39" i="5"/>
  <c r="S41" s="1"/>
  <c r="B40"/>
  <c r="D41"/>
  <c r="J39"/>
  <c r="W38"/>
  <c r="N40"/>
  <c r="I40"/>
  <c r="V34" i="4"/>
  <c r="S34"/>
  <c r="H68" i="29" l="1"/>
  <c r="O54" i="26"/>
  <c r="K54" s="1"/>
  <c r="Z54"/>
  <c r="T39" i="13"/>
  <c r="AM30"/>
  <c r="AF30" s="1"/>
  <c r="AM26"/>
  <c r="AM28"/>
  <c r="AF28" s="1"/>
  <c r="AM29"/>
  <c r="AF29" s="1"/>
  <c r="AM31"/>
  <c r="X36"/>
  <c r="M35"/>
  <c r="Q35" s="1"/>
  <c r="T35"/>
  <c r="AQ35"/>
  <c r="M25"/>
  <c r="T25"/>
  <c r="AQ25"/>
  <c r="X26"/>
  <c r="AM25"/>
  <c r="AR25" s="1"/>
  <c r="AM32"/>
  <c r="AM33"/>
  <c r="AF33" s="1"/>
  <c r="AF35"/>
  <c r="AQ32"/>
  <c r="M32"/>
  <c r="T37"/>
  <c r="AQ37"/>
  <c r="M37"/>
  <c r="Q37" s="1"/>
  <c r="X38"/>
  <c r="X32"/>
  <c r="T31"/>
  <c r="AQ31"/>
  <c r="M31"/>
  <c r="Q31" s="1"/>
  <c r="X34"/>
  <c r="T33"/>
  <c r="AQ33"/>
  <c r="M33"/>
  <c r="Q33" s="1"/>
  <c r="AQ34"/>
  <c r="M34"/>
  <c r="M36"/>
  <c r="AQ36"/>
  <c r="AQ28"/>
  <c r="M28"/>
  <c r="T27"/>
  <c r="AQ27"/>
  <c r="X28"/>
  <c r="M27"/>
  <c r="Q27" s="1"/>
  <c r="M26"/>
  <c r="AQ26"/>
  <c r="X30"/>
  <c r="M29"/>
  <c r="Q29" s="1"/>
  <c r="T29"/>
  <c r="AQ29"/>
  <c r="M30"/>
  <c r="AQ30"/>
  <c r="AM36"/>
  <c r="AM37"/>
  <c r="AM34"/>
  <c r="AF34" s="1"/>
  <c r="M38"/>
  <c r="U39" s="1"/>
  <c r="AQ38"/>
  <c r="AM27"/>
  <c r="AJ33" i="11"/>
  <c r="AJ32" i="12"/>
  <c r="B36" i="10"/>
  <c r="N36" i="2"/>
  <c r="V36" s="1"/>
  <c r="I36"/>
  <c r="D37"/>
  <c r="W34"/>
  <c r="J35"/>
  <c r="V35"/>
  <c r="W32" i="12"/>
  <c r="J33"/>
  <c r="V35"/>
  <c r="I36"/>
  <c r="D37"/>
  <c r="N36"/>
  <c r="W32" i="11"/>
  <c r="J33"/>
  <c r="AI33" s="1"/>
  <c r="AI33" i="12" s="1"/>
  <c r="V35" i="11"/>
  <c r="D37"/>
  <c r="I36"/>
  <c r="AG36" s="1"/>
  <c r="AG36" i="12" s="1"/>
  <c r="N36" i="11"/>
  <c r="N36" i="10"/>
  <c r="I36"/>
  <c r="S35"/>
  <c r="W33"/>
  <c r="J34"/>
  <c r="W34" i="4"/>
  <c r="V40" i="5"/>
  <c r="N41"/>
  <c r="J40"/>
  <c r="W40" s="1"/>
  <c r="W39"/>
  <c r="H40"/>
  <c r="H39"/>
  <c r="B41"/>
  <c r="H20"/>
  <c r="M20" s="1"/>
  <c r="H21"/>
  <c r="H22"/>
  <c r="H23"/>
  <c r="H25"/>
  <c r="H27"/>
  <c r="H24"/>
  <c r="M24" s="1"/>
  <c r="H29"/>
  <c r="H26"/>
  <c r="M26" s="1"/>
  <c r="H31"/>
  <c r="H28"/>
  <c r="H37"/>
  <c r="H34"/>
  <c r="M34" s="1"/>
  <c r="H33"/>
  <c r="H32"/>
  <c r="H38"/>
  <c r="M38" s="1"/>
  <c r="H36"/>
  <c r="H30"/>
  <c r="M30" s="1"/>
  <c r="H35"/>
  <c r="V35" i="4"/>
  <c r="V36"/>
  <c r="H69" i="29" l="1"/>
  <c r="Z57" i="27"/>
  <c r="H54" i="26"/>
  <c r="AR26" i="13"/>
  <c r="U35"/>
  <c r="AR31"/>
  <c r="AF26"/>
  <c r="AR32"/>
  <c r="AR27"/>
  <c r="U33"/>
  <c r="AR34"/>
  <c r="U31"/>
  <c r="AF31"/>
  <c r="AR33"/>
  <c r="AF25"/>
  <c r="U27"/>
  <c r="U37"/>
  <c r="AF32"/>
  <c r="AQ39"/>
  <c r="AR29"/>
  <c r="AR30"/>
  <c r="Q25"/>
  <c r="U25"/>
  <c r="AR28"/>
  <c r="AF36"/>
  <c r="AR36"/>
  <c r="AF27"/>
  <c r="AR38"/>
  <c r="AR37"/>
  <c r="U29"/>
  <c r="AR35"/>
  <c r="AF37"/>
  <c r="M35" i="5"/>
  <c r="O35" s="1"/>
  <c r="M28"/>
  <c r="O28" s="1"/>
  <c r="M22"/>
  <c r="O22" s="1"/>
  <c r="M32"/>
  <c r="AJ34" i="11"/>
  <c r="AJ33" i="12"/>
  <c r="S36" i="2"/>
  <c r="W35"/>
  <c r="J36"/>
  <c r="B37"/>
  <c r="N37"/>
  <c r="I37"/>
  <c r="V36" i="12"/>
  <c r="N37"/>
  <c r="I37"/>
  <c r="S36"/>
  <c r="S38" s="1"/>
  <c r="B37"/>
  <c r="D38"/>
  <c r="W33"/>
  <c r="J34"/>
  <c r="V36" i="11"/>
  <c r="AO36"/>
  <c r="AA37"/>
  <c r="AC38"/>
  <c r="I37"/>
  <c r="AG37" s="1"/>
  <c r="AG37" i="12" s="1"/>
  <c r="N37" i="11"/>
  <c r="AO37" s="1"/>
  <c r="AO38" s="1"/>
  <c r="J34"/>
  <c r="AI34" s="1"/>
  <c r="AI34" i="12" s="1"/>
  <c r="W33" i="11"/>
  <c r="B37"/>
  <c r="D38"/>
  <c r="S36"/>
  <c r="S38" s="1"/>
  <c r="J35" i="10"/>
  <c r="W34"/>
  <c r="V36"/>
  <c r="D38"/>
  <c r="I37"/>
  <c r="N37"/>
  <c r="V37" s="1"/>
  <c r="W35" i="4"/>
  <c r="M23" i="5"/>
  <c r="O23" s="1"/>
  <c r="M21"/>
  <c r="O21" s="1"/>
  <c r="M36"/>
  <c r="O32"/>
  <c r="O34"/>
  <c r="O26"/>
  <c r="O24"/>
  <c r="M25"/>
  <c r="O20"/>
  <c r="M39"/>
  <c r="U39" s="1"/>
  <c r="O30"/>
  <c r="O38"/>
  <c r="M33"/>
  <c r="M37"/>
  <c r="M31"/>
  <c r="M29"/>
  <c r="M27"/>
  <c r="Q23"/>
  <c r="M40"/>
  <c r="O40" s="1"/>
  <c r="S36" i="4"/>
  <c r="S38" s="1"/>
  <c r="Z70" i="29" l="1"/>
  <c r="M55" i="26"/>
  <c r="O55" s="1"/>
  <c r="K55" s="1"/>
  <c r="H55" s="1"/>
  <c r="M56" s="1"/>
  <c r="Q21" i="5"/>
  <c r="AR39" i="13"/>
  <c r="Q35" i="5"/>
  <c r="U23"/>
  <c r="U35"/>
  <c r="U21"/>
  <c r="AJ35" i="11"/>
  <c r="AJ34" i="12"/>
  <c r="I38" i="2"/>
  <c r="N38"/>
  <c r="V38" s="1"/>
  <c r="D39"/>
  <c r="V37"/>
  <c r="W36"/>
  <c r="J37"/>
  <c r="V37" i="12"/>
  <c r="N38"/>
  <c r="J35"/>
  <c r="W34"/>
  <c r="O6"/>
  <c r="H37" s="1"/>
  <c r="B38"/>
  <c r="AA38" i="11"/>
  <c r="V37"/>
  <c r="N38"/>
  <c r="O6"/>
  <c r="AQ6" s="1"/>
  <c r="AE19" s="1"/>
  <c r="B38"/>
  <c r="J35"/>
  <c r="AI35" s="1"/>
  <c r="AI35" i="12" s="1"/>
  <c r="W34" i="11"/>
  <c r="I38" i="10"/>
  <c r="N38"/>
  <c r="B38"/>
  <c r="D39"/>
  <c r="S37"/>
  <c r="S39" s="1"/>
  <c r="J36"/>
  <c r="W35"/>
  <c r="W37" i="4"/>
  <c r="W36"/>
  <c r="O27" i="5"/>
  <c r="Q27"/>
  <c r="Q31"/>
  <c r="O31"/>
  <c r="O33"/>
  <c r="Q33"/>
  <c r="U31"/>
  <c r="K20"/>
  <c r="K21" s="1"/>
  <c r="K22" s="1"/>
  <c r="K23" s="1"/>
  <c r="K24" s="1"/>
  <c r="Q25"/>
  <c r="O25"/>
  <c r="O41" s="1"/>
  <c r="U27"/>
  <c r="U33"/>
  <c r="X22"/>
  <c r="T21"/>
  <c r="X24"/>
  <c r="T23"/>
  <c r="Q29"/>
  <c r="O29"/>
  <c r="O37"/>
  <c r="Q37"/>
  <c r="T35"/>
  <c r="Q39"/>
  <c r="O39"/>
  <c r="M41"/>
  <c r="U25"/>
  <c r="U29"/>
  <c r="U37"/>
  <c r="O36"/>
  <c r="X36" s="1"/>
  <c r="V37" i="4"/>
  <c r="H70" i="29" l="1"/>
  <c r="O56" i="26"/>
  <c r="K56" s="1"/>
  <c r="Z56"/>
  <c r="S38" i="2"/>
  <c r="S40" s="1"/>
  <c r="AE34" i="11"/>
  <c r="AE26"/>
  <c r="AE37"/>
  <c r="AE29"/>
  <c r="AE21"/>
  <c r="AE32"/>
  <c r="AE24"/>
  <c r="AE35"/>
  <c r="AE27"/>
  <c r="AE30"/>
  <c r="AE22"/>
  <c r="AE33"/>
  <c r="AE25"/>
  <c r="AE36"/>
  <c r="AE28"/>
  <c r="AE20"/>
  <c r="AE31"/>
  <c r="AE23"/>
  <c r="AJ36"/>
  <c r="AJ36" i="12" s="1"/>
  <c r="AJ35"/>
  <c r="B39" i="2"/>
  <c r="D40"/>
  <c r="W37"/>
  <c r="J38"/>
  <c r="N39"/>
  <c r="I39"/>
  <c r="F15" i="12"/>
  <c r="F13"/>
  <c r="AQ6"/>
  <c r="F16"/>
  <c r="F14"/>
  <c r="H13"/>
  <c r="M13" s="1"/>
  <c r="H14"/>
  <c r="H26"/>
  <c r="H16"/>
  <c r="H22"/>
  <c r="H32"/>
  <c r="H28"/>
  <c r="H34"/>
  <c r="H20"/>
  <c r="H24"/>
  <c r="H18"/>
  <c r="H30"/>
  <c r="H36"/>
  <c r="M37" s="1"/>
  <c r="O37" s="1"/>
  <c r="H17"/>
  <c r="H15"/>
  <c r="H19"/>
  <c r="H21"/>
  <c r="M21" s="1"/>
  <c r="H23"/>
  <c r="H25"/>
  <c r="H27"/>
  <c r="M27" s="1"/>
  <c r="H29"/>
  <c r="M29" s="1"/>
  <c r="H31"/>
  <c r="H33"/>
  <c r="H35"/>
  <c r="M35" s="1"/>
  <c r="W35"/>
  <c r="J36"/>
  <c r="F16" i="11"/>
  <c r="F15"/>
  <c r="F14"/>
  <c r="F13"/>
  <c r="H13"/>
  <c r="M13" s="1"/>
  <c r="H14"/>
  <c r="H22"/>
  <c r="H18"/>
  <c r="H26"/>
  <c r="H30"/>
  <c r="H34"/>
  <c r="H20"/>
  <c r="H24"/>
  <c r="H28"/>
  <c r="H32"/>
  <c r="H36"/>
  <c r="H17"/>
  <c r="H16"/>
  <c r="H15"/>
  <c r="H19"/>
  <c r="M19" s="1"/>
  <c r="H21"/>
  <c r="H23"/>
  <c r="H25"/>
  <c r="H27"/>
  <c r="H29"/>
  <c r="H31"/>
  <c r="M31" s="1"/>
  <c r="H33"/>
  <c r="M33" s="1"/>
  <c r="H35"/>
  <c r="J36"/>
  <c r="AI36" s="1"/>
  <c r="AI36" i="12" s="1"/>
  <c r="W35" i="11"/>
  <c r="H37"/>
  <c r="J37" i="10"/>
  <c r="W36"/>
  <c r="V38"/>
  <c r="N39"/>
  <c r="O6"/>
  <c r="B39"/>
  <c r="O6" i="4"/>
  <c r="X38" i="5"/>
  <c r="T37"/>
  <c r="X32"/>
  <c r="T31"/>
  <c r="X40"/>
  <c r="T39"/>
  <c r="X30"/>
  <c r="T29"/>
  <c r="X26"/>
  <c r="T25"/>
  <c r="K25"/>
  <c r="K26" s="1"/>
  <c r="K27" s="1"/>
  <c r="K28" s="1"/>
  <c r="K29" s="1"/>
  <c r="K30" s="1"/>
  <c r="K31" s="1"/>
  <c r="K32" s="1"/>
  <c r="K33" s="1"/>
  <c r="K34" s="1"/>
  <c r="K35" s="1"/>
  <c r="K36" s="1"/>
  <c r="K37" s="1"/>
  <c r="K38" s="1"/>
  <c r="K39" s="1"/>
  <c r="K40" s="1"/>
  <c r="X34"/>
  <c r="T33"/>
  <c r="X28"/>
  <c r="T27"/>
  <c r="H71" i="29" l="1"/>
  <c r="Z59" i="27"/>
  <c r="H56" i="26"/>
  <c r="M23" i="12"/>
  <c r="O23" s="1"/>
  <c r="M14"/>
  <c r="U14" s="1"/>
  <c r="M19"/>
  <c r="O19" s="1"/>
  <c r="M31"/>
  <c r="O31" s="1"/>
  <c r="M17"/>
  <c r="O17" s="1"/>
  <c r="M25" i="11"/>
  <c r="O25" s="1"/>
  <c r="AQ25" s="1"/>
  <c r="M35"/>
  <c r="O35" s="1"/>
  <c r="AQ35" s="1"/>
  <c r="M27"/>
  <c r="O27" s="1"/>
  <c r="AQ27" s="1"/>
  <c r="M23"/>
  <c r="O23" s="1"/>
  <c r="AQ23" s="1"/>
  <c r="M37"/>
  <c r="O37" s="1"/>
  <c r="AQ37" s="1"/>
  <c r="M15"/>
  <c r="U15" s="1"/>
  <c r="M29"/>
  <c r="M21"/>
  <c r="H38" i="2"/>
  <c r="H30"/>
  <c r="H22"/>
  <c r="H31"/>
  <c r="H21"/>
  <c r="H23"/>
  <c r="H39"/>
  <c r="H29"/>
  <c r="H24"/>
  <c r="H32"/>
  <c r="H34"/>
  <c r="H33"/>
  <c r="H25"/>
  <c r="M25" s="1"/>
  <c r="O25" s="1"/>
  <c r="H36"/>
  <c r="H35"/>
  <c r="H20"/>
  <c r="H26"/>
  <c r="M26" s="1"/>
  <c r="H27"/>
  <c r="H37"/>
  <c r="H28"/>
  <c r="W38"/>
  <c r="J39"/>
  <c r="W39" s="1"/>
  <c r="V39"/>
  <c r="N40"/>
  <c r="M30" i="12"/>
  <c r="U30" s="1"/>
  <c r="M34"/>
  <c r="O34" s="1"/>
  <c r="M16"/>
  <c r="Q16" s="1"/>
  <c r="J37"/>
  <c r="W36"/>
  <c r="O35"/>
  <c r="O27"/>
  <c r="M24"/>
  <c r="M32"/>
  <c r="AE37"/>
  <c r="AE36"/>
  <c r="AE35"/>
  <c r="AE34"/>
  <c r="AE32"/>
  <c r="AE29"/>
  <c r="AE28"/>
  <c r="AE33"/>
  <c r="AE31"/>
  <c r="AE30"/>
  <c r="AE27"/>
  <c r="AE25"/>
  <c r="AE24"/>
  <c r="AE21"/>
  <c r="AE20"/>
  <c r="AE26"/>
  <c r="AE23"/>
  <c r="AE22"/>
  <c r="M33"/>
  <c r="O29"/>
  <c r="M25"/>
  <c r="O21"/>
  <c r="M15"/>
  <c r="M36"/>
  <c r="M18"/>
  <c r="M20"/>
  <c r="M28"/>
  <c r="U28" s="1"/>
  <c r="M22"/>
  <c r="M26"/>
  <c r="O13"/>
  <c r="AR19" i="11"/>
  <c r="M14"/>
  <c r="U14" s="1"/>
  <c r="O31"/>
  <c r="AQ31" s="1"/>
  <c r="O19"/>
  <c r="AQ19" s="1"/>
  <c r="M16"/>
  <c r="M36"/>
  <c r="M28"/>
  <c r="M20"/>
  <c r="M30"/>
  <c r="M18"/>
  <c r="W36"/>
  <c r="J37"/>
  <c r="O33"/>
  <c r="AQ33" s="1"/>
  <c r="O29"/>
  <c r="AQ29" s="1"/>
  <c r="O21"/>
  <c r="AQ21" s="1"/>
  <c r="M17"/>
  <c r="M32"/>
  <c r="M24"/>
  <c r="M34"/>
  <c r="M26"/>
  <c r="M22"/>
  <c r="O13"/>
  <c r="F16" i="10"/>
  <c r="F15"/>
  <c r="F14"/>
  <c r="F13"/>
  <c r="H14"/>
  <c r="H13"/>
  <c r="H21"/>
  <c r="H25"/>
  <c r="H33"/>
  <c r="H35"/>
  <c r="H17"/>
  <c r="H23"/>
  <c r="H19"/>
  <c r="H27"/>
  <c r="H31"/>
  <c r="H29"/>
  <c r="H37"/>
  <c r="H16"/>
  <c r="H15"/>
  <c r="H18"/>
  <c r="H20"/>
  <c r="M20" s="1"/>
  <c r="H22"/>
  <c r="H24"/>
  <c r="M24" s="1"/>
  <c r="H26"/>
  <c r="M26" s="1"/>
  <c r="H28"/>
  <c r="H30"/>
  <c r="M30" s="1"/>
  <c r="H32"/>
  <c r="M32" s="1"/>
  <c r="H34"/>
  <c r="H36"/>
  <c r="H38"/>
  <c r="W37"/>
  <c r="J38"/>
  <c r="W38" s="1"/>
  <c r="H13" i="4"/>
  <c r="M13" s="1"/>
  <c r="F14"/>
  <c r="F15"/>
  <c r="F16"/>
  <c r="H17"/>
  <c r="H19"/>
  <c r="H21"/>
  <c r="H23"/>
  <c r="H25"/>
  <c r="H27"/>
  <c r="H29"/>
  <c r="H31"/>
  <c r="H33"/>
  <c r="H35"/>
  <c r="H37"/>
  <c r="F13"/>
  <c r="H14"/>
  <c r="M14" s="1"/>
  <c r="O14" s="1"/>
  <c r="H15"/>
  <c r="H16"/>
  <c r="M16" s="1"/>
  <c r="O16" s="1"/>
  <c r="H18"/>
  <c r="H20"/>
  <c r="M20" s="1"/>
  <c r="O20" s="1"/>
  <c r="H22"/>
  <c r="H24"/>
  <c r="M24" s="1"/>
  <c r="O24" s="1"/>
  <c r="H26"/>
  <c r="H28"/>
  <c r="M28" s="1"/>
  <c r="O28" s="1"/>
  <c r="H30"/>
  <c r="H32"/>
  <c r="M32" s="1"/>
  <c r="O32" s="1"/>
  <c r="H34"/>
  <c r="H36"/>
  <c r="M36" s="1"/>
  <c r="O36" s="1"/>
  <c r="Z72" i="29" l="1"/>
  <c r="M57" i="26"/>
  <c r="O57" s="1"/>
  <c r="K57" s="1"/>
  <c r="M35" i="2"/>
  <c r="O35" s="1"/>
  <c r="O14" i="12"/>
  <c r="T14" s="1"/>
  <c r="U16"/>
  <c r="U18"/>
  <c r="Q34"/>
  <c r="O30"/>
  <c r="T30" s="1"/>
  <c r="O16"/>
  <c r="X17" s="1"/>
  <c r="Q30"/>
  <c r="M38"/>
  <c r="U30" i="11"/>
  <c r="O14"/>
  <c r="O15"/>
  <c r="T15" s="1"/>
  <c r="M38" i="10"/>
  <c r="O38" s="1"/>
  <c r="M34"/>
  <c r="O34" s="1"/>
  <c r="M15"/>
  <c r="M16"/>
  <c r="M13"/>
  <c r="M36"/>
  <c r="O36" s="1"/>
  <c r="M28"/>
  <c r="O28" s="1"/>
  <c r="M22"/>
  <c r="O22" s="1"/>
  <c r="M18"/>
  <c r="O18" s="1"/>
  <c r="M27" i="2"/>
  <c r="O27" s="1"/>
  <c r="M32"/>
  <c r="O32" s="1"/>
  <c r="M30"/>
  <c r="O30" s="1"/>
  <c r="M34"/>
  <c r="Q34" s="1"/>
  <c r="M39"/>
  <c r="O39" s="1"/>
  <c r="M22"/>
  <c r="Q22" s="1"/>
  <c r="M28"/>
  <c r="U26"/>
  <c r="O26"/>
  <c r="Q26"/>
  <c r="M24"/>
  <c r="M21"/>
  <c r="M38"/>
  <c r="M36"/>
  <c r="M23"/>
  <c r="M37"/>
  <c r="M33"/>
  <c r="M29"/>
  <c r="M31"/>
  <c r="Q22" i="12"/>
  <c r="O22"/>
  <c r="O20"/>
  <c r="Q20"/>
  <c r="O36"/>
  <c r="Q36"/>
  <c r="U26"/>
  <c r="O25"/>
  <c r="X14"/>
  <c r="X35"/>
  <c r="O24"/>
  <c r="Q24"/>
  <c r="U20"/>
  <c r="U24"/>
  <c r="U36"/>
  <c r="K13"/>
  <c r="K14" s="1"/>
  <c r="Q26"/>
  <c r="O26"/>
  <c r="O28"/>
  <c r="Q28"/>
  <c r="O18"/>
  <c r="Q18"/>
  <c r="U15"/>
  <c r="O15"/>
  <c r="T15" s="1"/>
  <c r="U22"/>
  <c r="U34"/>
  <c r="O33"/>
  <c r="Q32"/>
  <c r="O32"/>
  <c r="U32"/>
  <c r="W37"/>
  <c r="W37" i="11"/>
  <c r="AI37"/>
  <c r="AI37" i="12" s="1"/>
  <c r="AM19" i="11"/>
  <c r="K13"/>
  <c r="Q22"/>
  <c r="O22"/>
  <c r="AQ22" s="1"/>
  <c r="Q34"/>
  <c r="O34"/>
  <c r="AQ34" s="1"/>
  <c r="O32"/>
  <c r="AQ32" s="1"/>
  <c r="Q32"/>
  <c r="U22"/>
  <c r="U34"/>
  <c r="T14"/>
  <c r="X14"/>
  <c r="Q18"/>
  <c r="O18"/>
  <c r="O20"/>
  <c r="AQ20" s="1"/>
  <c r="Q20"/>
  <c r="O36"/>
  <c r="AQ36" s="1"/>
  <c r="Q36"/>
  <c r="M38"/>
  <c r="O26"/>
  <c r="AQ26" s="1"/>
  <c r="Q26"/>
  <c r="O24"/>
  <c r="AQ24" s="1"/>
  <c r="Q24"/>
  <c r="O17"/>
  <c r="U18"/>
  <c r="U26"/>
  <c r="Q30"/>
  <c r="O30"/>
  <c r="AQ30" s="1"/>
  <c r="O28"/>
  <c r="AQ28" s="1"/>
  <c r="Q28"/>
  <c r="U16"/>
  <c r="O16"/>
  <c r="Q16"/>
  <c r="U20"/>
  <c r="U24"/>
  <c r="U28"/>
  <c r="U32"/>
  <c r="U36"/>
  <c r="O30" i="10"/>
  <c r="O26"/>
  <c r="M29"/>
  <c r="M27"/>
  <c r="M23"/>
  <c r="M35"/>
  <c r="M25"/>
  <c r="U25" s="1"/>
  <c r="O32"/>
  <c r="O24"/>
  <c r="O20"/>
  <c r="M37"/>
  <c r="M31"/>
  <c r="M19"/>
  <c r="M17"/>
  <c r="M33"/>
  <c r="M21"/>
  <c r="M14"/>
  <c r="M37" i="4"/>
  <c r="O37" s="1"/>
  <c r="M33"/>
  <c r="O33" s="1"/>
  <c r="M29"/>
  <c r="O29" s="1"/>
  <c r="M25"/>
  <c r="O25" s="1"/>
  <c r="M21"/>
  <c r="O21" s="1"/>
  <c r="M17"/>
  <c r="O17" s="1"/>
  <c r="O13"/>
  <c r="M38"/>
  <c r="U14"/>
  <c r="M34"/>
  <c r="O34" s="1"/>
  <c r="M30"/>
  <c r="O30" s="1"/>
  <c r="M26"/>
  <c r="O26" s="1"/>
  <c r="M22"/>
  <c r="O22" s="1"/>
  <c r="M18"/>
  <c r="O18" s="1"/>
  <c r="M15"/>
  <c r="O15" s="1"/>
  <c r="M35"/>
  <c r="O35" s="1"/>
  <c r="M31"/>
  <c r="O31" s="1"/>
  <c r="M27"/>
  <c r="O27" s="1"/>
  <c r="M23"/>
  <c r="O23" s="1"/>
  <c r="M19"/>
  <c r="O19" s="1"/>
  <c r="U18"/>
  <c r="Q22"/>
  <c r="U22"/>
  <c r="Q16"/>
  <c r="Q28"/>
  <c r="Q30"/>
  <c r="U28"/>
  <c r="Q20"/>
  <c r="Q36"/>
  <c r="X14"/>
  <c r="T14"/>
  <c r="Q34"/>
  <c r="Q18"/>
  <c r="H72" i="29" l="1"/>
  <c r="H57" i="26"/>
  <c r="M58" s="1"/>
  <c r="Z58" s="1"/>
  <c r="Q32" i="2"/>
  <c r="Q30"/>
  <c r="U28"/>
  <c r="X31" i="12"/>
  <c r="T16"/>
  <c r="K14" i="11"/>
  <c r="K15" s="1"/>
  <c r="K16" s="1"/>
  <c r="K17" s="1"/>
  <c r="K18" s="1"/>
  <c r="K19" s="1"/>
  <c r="X15"/>
  <c r="AQ22" i="12"/>
  <c r="U35" i="10"/>
  <c r="Q16"/>
  <c r="U29"/>
  <c r="O15"/>
  <c r="U15"/>
  <c r="O13"/>
  <c r="O16"/>
  <c r="O17"/>
  <c r="U16"/>
  <c r="O22" i="2"/>
  <c r="O34"/>
  <c r="X35" s="1"/>
  <c r="O21"/>
  <c r="U22"/>
  <c r="O23"/>
  <c r="U24"/>
  <c r="O24"/>
  <c r="Q24"/>
  <c r="O28"/>
  <c r="Q28"/>
  <c r="O31"/>
  <c r="X31" s="1"/>
  <c r="U32"/>
  <c r="U36"/>
  <c r="Q36"/>
  <c r="O36"/>
  <c r="O33"/>
  <c r="X33" s="1"/>
  <c r="U34"/>
  <c r="O37"/>
  <c r="U38"/>
  <c r="O29"/>
  <c r="T30" s="1"/>
  <c r="U30"/>
  <c r="Q38"/>
  <c r="O38"/>
  <c r="X27"/>
  <c r="T26"/>
  <c r="K15" i="12"/>
  <c r="K16" s="1"/>
  <c r="K17" s="1"/>
  <c r="K18" s="1"/>
  <c r="K19" s="1"/>
  <c r="T32"/>
  <c r="X33"/>
  <c r="X27"/>
  <c r="T26"/>
  <c r="X15"/>
  <c r="O38"/>
  <c r="X25"/>
  <c r="T24"/>
  <c r="T22"/>
  <c r="X23"/>
  <c r="X19"/>
  <c r="T18"/>
  <c r="X29"/>
  <c r="T28"/>
  <c r="T34"/>
  <c r="X37"/>
  <c r="T36"/>
  <c r="X21"/>
  <c r="T20"/>
  <c r="AQ38" i="11"/>
  <c r="X29"/>
  <c r="T28"/>
  <c r="X37"/>
  <c r="T36"/>
  <c r="X21"/>
  <c r="T20"/>
  <c r="X33"/>
  <c r="T32"/>
  <c r="X17"/>
  <c r="T16"/>
  <c r="X31"/>
  <c r="T30"/>
  <c r="X25"/>
  <c r="T24"/>
  <c r="X27"/>
  <c r="T26"/>
  <c r="X19"/>
  <c r="T18"/>
  <c r="X35"/>
  <c r="T34"/>
  <c r="X23"/>
  <c r="T22"/>
  <c r="O38"/>
  <c r="Q21" i="10"/>
  <c r="O21"/>
  <c r="Q31"/>
  <c r="O31"/>
  <c r="U21"/>
  <c r="Q25"/>
  <c r="O25"/>
  <c r="O23"/>
  <c r="Q23"/>
  <c r="Q29"/>
  <c r="O29"/>
  <c r="U31"/>
  <c r="U14"/>
  <c r="O14"/>
  <c r="O33"/>
  <c r="Q33"/>
  <c r="O19"/>
  <c r="Q19"/>
  <c r="O37"/>
  <c r="Q37"/>
  <c r="U33"/>
  <c r="U37"/>
  <c r="M39"/>
  <c r="Q35"/>
  <c r="O35"/>
  <c r="O27"/>
  <c r="Q27"/>
  <c r="U19"/>
  <c r="U23"/>
  <c r="U27"/>
  <c r="Q26" i="4"/>
  <c r="K13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6" s="1"/>
  <c r="K37" s="1"/>
  <c r="O38"/>
  <c r="U15"/>
  <c r="U24"/>
  <c r="U26"/>
  <c r="U36"/>
  <c r="U32"/>
  <c r="Q32"/>
  <c r="Q24"/>
  <c r="U16"/>
  <c r="U20"/>
  <c r="U30"/>
  <c r="T34"/>
  <c r="U34"/>
  <c r="T26"/>
  <c r="X27"/>
  <c r="X19"/>
  <c r="T18"/>
  <c r="X35"/>
  <c r="T32"/>
  <c r="X33"/>
  <c r="T24"/>
  <c r="X25"/>
  <c r="X17"/>
  <c r="T16"/>
  <c r="T36"/>
  <c r="X37"/>
  <c r="X21"/>
  <c r="T20"/>
  <c r="T30"/>
  <c r="X31"/>
  <c r="X29"/>
  <c r="T28"/>
  <c r="X23"/>
  <c r="T22"/>
  <c r="O58" i="26" l="1"/>
  <c r="K58" s="1"/>
  <c r="H58" s="1"/>
  <c r="H73" i="29"/>
  <c r="Z61" i="27"/>
  <c r="X23" i="2"/>
  <c r="T22"/>
  <c r="K20" i="11"/>
  <c r="AL19"/>
  <c r="K13" i="10"/>
  <c r="T15"/>
  <c r="X15"/>
  <c r="X17"/>
  <c r="T16"/>
  <c r="X18"/>
  <c r="T32" i="2"/>
  <c r="T34"/>
  <c r="T36"/>
  <c r="X37"/>
  <c r="X29"/>
  <c r="T28"/>
  <c r="T38"/>
  <c r="X39"/>
  <c r="X25"/>
  <c r="T24"/>
  <c r="K20" i="12"/>
  <c r="O39" i="10"/>
  <c r="X36"/>
  <c r="T35"/>
  <c r="X38"/>
  <c r="T37"/>
  <c r="X20"/>
  <c r="T19"/>
  <c r="X34"/>
  <c r="T33"/>
  <c r="X30"/>
  <c r="T29"/>
  <c r="X26"/>
  <c r="T25"/>
  <c r="K14"/>
  <c r="X32"/>
  <c r="T31"/>
  <c r="X22"/>
  <c r="T21"/>
  <c r="X28"/>
  <c r="T27"/>
  <c r="X14"/>
  <c r="T14"/>
  <c r="X24"/>
  <c r="T23"/>
  <c r="T15" i="4"/>
  <c r="X15"/>
  <c r="Z74" i="29" l="1"/>
  <c r="M59" i="26"/>
  <c r="O59" s="1"/>
  <c r="K59" s="1"/>
  <c r="AF19" i="11"/>
  <c r="K21"/>
  <c r="AL20"/>
  <c r="K15" i="10"/>
  <c r="K21" i="12"/>
  <c r="H74" i="29" l="1"/>
  <c r="H59" i="26"/>
  <c r="M60" s="1"/>
  <c r="Z60" s="1"/>
  <c r="AL20" i="12"/>
  <c r="AM20" i="11"/>
  <c r="AF20"/>
  <c r="K22"/>
  <c r="AL21"/>
  <c r="K16" i="10"/>
  <c r="AM20" i="12"/>
  <c r="K22"/>
  <c r="H75" i="29" l="1"/>
  <c r="Z63" i="27"/>
  <c r="O60" i="26"/>
  <c r="K60" s="1"/>
  <c r="H60" s="1"/>
  <c r="AL21" i="12"/>
  <c r="AM21" s="1"/>
  <c r="AM21" i="11"/>
  <c r="AF21"/>
  <c r="AR20"/>
  <c r="K23"/>
  <c r="AL22"/>
  <c r="K17" i="10"/>
  <c r="K23" i="12"/>
  <c r="AF20"/>
  <c r="Z76" i="29" l="1"/>
  <c r="M61" i="26"/>
  <c r="O61" s="1"/>
  <c r="K61" s="1"/>
  <c r="H61" s="1"/>
  <c r="M62" s="1"/>
  <c r="AR21" i="11"/>
  <c r="AL22" i="12"/>
  <c r="AM22" s="1"/>
  <c r="AM22" i="11"/>
  <c r="AF22" s="1"/>
  <c r="K24"/>
  <c r="AL23"/>
  <c r="K18" i="10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6" s="1"/>
  <c r="K37" s="1"/>
  <c r="K38" s="1"/>
  <c r="K24" i="12"/>
  <c r="AF21"/>
  <c r="H76" i="29" l="1"/>
  <c r="O62" i="26"/>
  <c r="K62" s="1"/>
  <c r="Z62"/>
  <c r="AL23" i="12"/>
  <c r="AM23" s="1"/>
  <c r="AM23" i="11"/>
  <c r="AR23" s="1"/>
  <c r="K25"/>
  <c r="AL24"/>
  <c r="AR22"/>
  <c r="AF22" i="12"/>
  <c r="K25"/>
  <c r="H77" i="29" l="1"/>
  <c r="Z65" i="27"/>
  <c r="H62" i="26"/>
  <c r="AL24" i="12"/>
  <c r="AM24" s="1"/>
  <c r="AM24" i="11"/>
  <c r="AR24" s="1"/>
  <c r="AN22" i="12"/>
  <c r="AR22" s="1"/>
  <c r="K26" i="11"/>
  <c r="AL25"/>
  <c r="AF23"/>
  <c r="AF23" i="12"/>
  <c r="K26"/>
  <c r="Z78" i="29" l="1"/>
  <c r="M63" i="26"/>
  <c r="O63" s="1"/>
  <c r="K63" s="1"/>
  <c r="AL25" i="12"/>
  <c r="AM25" s="1"/>
  <c r="AM25" i="11"/>
  <c r="AR25" s="1"/>
  <c r="K27"/>
  <c r="AL26"/>
  <c r="AF24"/>
  <c r="K27" i="12"/>
  <c r="AF24"/>
  <c r="H78" i="29" l="1"/>
  <c r="H63" i="26"/>
  <c r="M64" s="1"/>
  <c r="Z64" s="1"/>
  <c r="AL26" i="12"/>
  <c r="AM26" s="1"/>
  <c r="AM26" i="11"/>
  <c r="AR26" s="1"/>
  <c r="K28"/>
  <c r="AL27"/>
  <c r="AF25"/>
  <c r="K28" i="12"/>
  <c r="AF25"/>
  <c r="H79" i="29" l="1"/>
  <c r="Z67" i="27"/>
  <c r="O64" i="26"/>
  <c r="K64" s="1"/>
  <c r="H64" s="1"/>
  <c r="AL27" i="12"/>
  <c r="AM27" s="1"/>
  <c r="AM27" i="11"/>
  <c r="AR27" s="1"/>
  <c r="K29"/>
  <c r="AL28"/>
  <c r="AF26"/>
  <c r="K29" i="12"/>
  <c r="AF26"/>
  <c r="Z80" i="29" l="1"/>
  <c r="M65" i="26"/>
  <c r="O65" s="1"/>
  <c r="K65" s="1"/>
  <c r="K30" i="11"/>
  <c r="AL29"/>
  <c r="AF27"/>
  <c r="AL28" i="12"/>
  <c r="AM28" s="1"/>
  <c r="AM28" i="11"/>
  <c r="AR28" s="1"/>
  <c r="K30" i="12"/>
  <c r="AF27"/>
  <c r="H80" i="29" l="1"/>
  <c r="H65" i="26"/>
  <c r="M66" s="1"/>
  <c r="O66" s="1"/>
  <c r="K66" s="1"/>
  <c r="AL29" i="12"/>
  <c r="AM29" s="1"/>
  <c r="AM29" i="11"/>
  <c r="AR29" s="1"/>
  <c r="AF28"/>
  <c r="K31"/>
  <c r="AL30"/>
  <c r="K31" i="12"/>
  <c r="AF28"/>
  <c r="H81" i="29" l="1"/>
  <c r="Z69" i="27"/>
  <c r="Z66" i="26"/>
  <c r="H66"/>
  <c r="AF29" i="11"/>
  <c r="AL30" i="12"/>
  <c r="AM30" i="11"/>
  <c r="AR30" s="1"/>
  <c r="K32"/>
  <c r="AL31"/>
  <c r="AM30" i="12"/>
  <c r="K32"/>
  <c r="AF29"/>
  <c r="Z82" i="29" l="1"/>
  <c r="M67" i="26"/>
  <c r="O67" s="1"/>
  <c r="K67" s="1"/>
  <c r="AL31" i="12"/>
  <c r="AM31" s="1"/>
  <c r="AM31" i="11"/>
  <c r="AR31" s="1"/>
  <c r="AF30"/>
  <c r="K33"/>
  <c r="AL32"/>
  <c r="K33" i="12"/>
  <c r="AF30"/>
  <c r="H82" i="29" l="1"/>
  <c r="H67" i="26"/>
  <c r="M68" s="1"/>
  <c r="O68" s="1"/>
  <c r="K68" s="1"/>
  <c r="AF31" i="11"/>
  <c r="AL32" i="12"/>
  <c r="AM32" i="11"/>
  <c r="AR32" s="1"/>
  <c r="K34"/>
  <c r="AL33"/>
  <c r="AM32" i="12"/>
  <c r="K34"/>
  <c r="AF31"/>
  <c r="Z68" i="26" l="1"/>
  <c r="H83" i="29"/>
  <c r="Z71" i="27"/>
  <c r="H68" i="26"/>
  <c r="AF32" i="11"/>
  <c r="AL33" i="12"/>
  <c r="AM33" i="11"/>
  <c r="AR33" s="1"/>
  <c r="K35"/>
  <c r="AL34"/>
  <c r="AM33" i="12"/>
  <c r="K35"/>
  <c r="AF32"/>
  <c r="Z84" i="29" l="1"/>
  <c r="M69" i="26"/>
  <c r="O69" s="1"/>
  <c r="K69" s="1"/>
  <c r="AL34" i="12"/>
  <c r="AM34" s="1"/>
  <c r="AM34" i="11"/>
  <c r="AR34" s="1"/>
  <c r="AF33"/>
  <c r="K36"/>
  <c r="AL35"/>
  <c r="K36" i="12"/>
  <c r="AF33"/>
  <c r="H84" i="29" l="1"/>
  <c r="H69" i="26"/>
  <c r="M70" s="1"/>
  <c r="Z70" s="1"/>
  <c r="AL35" i="12"/>
  <c r="AM35" s="1"/>
  <c r="AM35" i="11"/>
  <c r="AR35" s="1"/>
  <c r="AF34"/>
  <c r="K37"/>
  <c r="AL37" s="1"/>
  <c r="AL37" i="12" s="1"/>
  <c r="AL36" i="11"/>
  <c r="K37" i="12"/>
  <c r="AF34"/>
  <c r="H85" i="29" l="1"/>
  <c r="Z73" i="27"/>
  <c r="O70" i="26"/>
  <c r="K70" s="1"/>
  <c r="H70" s="1"/>
  <c r="AF37" i="12"/>
  <c r="AL36"/>
  <c r="AM36" i="11"/>
  <c r="AR36" s="1"/>
  <c r="AF36"/>
  <c r="AF35"/>
  <c r="AM36" i="12"/>
  <c r="AF36" s="1"/>
  <c r="AF35"/>
  <c r="Z86" i="29" l="1"/>
  <c r="M71" i="26"/>
  <c r="O71" s="1"/>
  <c r="K71" s="1"/>
  <c r="H71" s="1"/>
  <c r="M72" s="1"/>
  <c r="H86" i="29" l="1"/>
  <c r="O72" i="26"/>
  <c r="K72" s="1"/>
  <c r="Z72"/>
  <c r="H87" i="29" l="1"/>
  <c r="Z75" i="27"/>
  <c r="H72" i="26"/>
  <c r="Z88" i="29" l="1"/>
  <c r="M73" i="26"/>
  <c r="O73" s="1"/>
  <c r="K73" s="1"/>
  <c r="H88" i="29" l="1"/>
  <c r="H73" i="26"/>
  <c r="M74" s="1"/>
  <c r="Z74" s="1"/>
  <c r="H89" i="29" l="1"/>
  <c r="Z77" i="27"/>
  <c r="O74" i="26"/>
  <c r="K74" s="1"/>
  <c r="H74" s="1"/>
  <c r="Z90" i="29" l="1"/>
  <c r="M75" i="26"/>
  <c r="O75" s="1"/>
  <c r="K75" s="1"/>
  <c r="H90" i="29" l="1"/>
  <c r="H75" i="26"/>
  <c r="M76" s="1"/>
  <c r="Z76" s="1"/>
  <c r="H91" i="29" l="1"/>
  <c r="Z79" i="27"/>
  <c r="O76" i="26"/>
  <c r="K76" s="1"/>
  <c r="H76" s="1"/>
  <c r="Z92" i="29" l="1"/>
  <c r="M77" i="26"/>
  <c r="O77" s="1"/>
  <c r="K77" s="1"/>
  <c r="H92" i="29" l="1"/>
  <c r="H77" i="26"/>
  <c r="M78" s="1"/>
  <c r="Z78" s="1"/>
  <c r="H93" i="29" l="1"/>
  <c r="Z81" i="27"/>
  <c r="O78" i="26"/>
  <c r="K78" s="1"/>
  <c r="H78" s="1"/>
  <c r="Z94" i="29" l="1"/>
  <c r="M79" i="26"/>
  <c r="O79" s="1"/>
  <c r="K79" s="1"/>
  <c r="H79" s="1"/>
  <c r="M80" s="1"/>
  <c r="H94" i="29" l="1"/>
  <c r="O80" i="26"/>
  <c r="K80" s="1"/>
  <c r="Z80"/>
  <c r="H95" i="29" l="1"/>
  <c r="Z83" i="27"/>
  <c r="H80" i="26"/>
  <c r="Z96" i="29" l="1"/>
  <c r="M81" i="26"/>
  <c r="O81" s="1"/>
  <c r="K81" s="1"/>
  <c r="H96" i="29" l="1"/>
  <c r="H81" i="26"/>
  <c r="M82" s="1"/>
  <c r="O82" s="1"/>
  <c r="K82" s="1"/>
  <c r="H97" i="29" l="1"/>
  <c r="Z85" i="27"/>
  <c r="Z82" i="26"/>
  <c r="H82"/>
  <c r="Z98" i="29" l="1"/>
  <c r="M83" i="26"/>
  <c r="O83" s="1"/>
  <c r="K83" s="1"/>
  <c r="H98" i="29" l="1"/>
  <c r="H83" i="26"/>
  <c r="M84" s="1"/>
  <c r="O84" s="1"/>
  <c r="K84" s="1"/>
  <c r="H99" i="29" l="1"/>
  <c r="Z87" i="27"/>
  <c r="Z84" i="26"/>
  <c r="H84"/>
  <c r="Z100" i="29" l="1"/>
  <c r="M85" i="26"/>
  <c r="O85" s="1"/>
  <c r="K85" s="1"/>
  <c r="H100" i="29" l="1"/>
  <c r="H85" i="26"/>
  <c r="M86" s="1"/>
  <c r="O86" s="1"/>
  <c r="K86" s="1"/>
  <c r="H101" i="29" l="1"/>
  <c r="Z89" i="27"/>
  <c r="Z86" i="26"/>
  <c r="H86"/>
  <c r="AF37" i="11"/>
  <c r="AR37"/>
  <c r="AR38" s="1"/>
  <c r="Z102" i="29" l="1"/>
  <c r="M87" i="26"/>
  <c r="O87" s="1"/>
  <c r="K87" s="1"/>
  <c r="H102" i="29" l="1"/>
  <c r="H87" i="26"/>
  <c r="M88" s="1"/>
  <c r="O88" s="1"/>
  <c r="K88" s="1"/>
  <c r="H103" i="29" l="1"/>
  <c r="Z91" i="27"/>
  <c r="Z88" i="26"/>
  <c r="H88"/>
  <c r="Z104" i="29" l="1"/>
  <c r="M89" i="26"/>
  <c r="O89" s="1"/>
  <c r="K89" s="1"/>
  <c r="H104" i="29" l="1"/>
  <c r="H89" i="26"/>
  <c r="M90" s="1"/>
  <c r="O90" s="1"/>
  <c r="K90" s="1"/>
  <c r="H105" i="29" l="1"/>
  <c r="Z93" i="27"/>
  <c r="Z90" i="26"/>
  <c r="H90"/>
  <c r="Z106" i="29" l="1"/>
  <c r="M91" i="26"/>
  <c r="O91" s="1"/>
  <c r="K91" s="1"/>
  <c r="H91" s="1"/>
  <c r="M92" s="1"/>
  <c r="H106" i="29" l="1"/>
  <c r="O92" i="26"/>
  <c r="K92" s="1"/>
  <c r="Z92"/>
  <c r="H107" i="29" l="1"/>
  <c r="Z95" i="27"/>
  <c r="H92" i="26"/>
  <c r="Z108" i="29" l="1"/>
  <c r="M93" i="26"/>
  <c r="O93" s="1"/>
  <c r="K93" s="1"/>
  <c r="H93" s="1"/>
  <c r="M94" s="1"/>
  <c r="H108" i="29" l="1"/>
  <c r="O94" i="26"/>
  <c r="K94" s="1"/>
  <c r="Z94"/>
  <c r="H109" i="29" l="1"/>
  <c r="Z97" i="27"/>
  <c r="H94" i="26"/>
  <c r="Z110" i="29" l="1"/>
  <c r="M95" i="26"/>
  <c r="O95" s="1"/>
  <c r="K95" s="1"/>
  <c r="H110" i="29" l="1"/>
  <c r="H95" i="26"/>
  <c r="M96" s="1"/>
  <c r="Z96" s="1"/>
  <c r="H111" i="29" l="1"/>
  <c r="Z99" i="27"/>
  <c r="O96" i="26"/>
  <c r="K96" s="1"/>
  <c r="Z112" i="29" l="1"/>
  <c r="H96" i="26"/>
  <c r="M97" s="1"/>
  <c r="O97" s="1"/>
  <c r="K97" s="1"/>
  <c r="H97" s="1"/>
  <c r="M98" s="1"/>
  <c r="H112" i="29" l="1"/>
  <c r="O98" i="26"/>
  <c r="K98" s="1"/>
  <c r="Z98"/>
  <c r="H113" i="29" l="1"/>
  <c r="Z101" i="27"/>
  <c r="H98" i="26"/>
  <c r="Z114" i="29" l="1"/>
  <c r="M99" i="26"/>
  <c r="O99" s="1"/>
  <c r="K99" s="1"/>
  <c r="H99" s="1"/>
  <c r="M100" s="1"/>
  <c r="H114" i="29" l="1"/>
  <c r="O100" i="26"/>
  <c r="K100" s="1"/>
  <c r="Z100"/>
  <c r="H115" i="29" l="1"/>
  <c r="Z103" i="27"/>
  <c r="H100" i="26"/>
  <c r="Z116" i="29" l="1"/>
  <c r="M101" i="26"/>
  <c r="O101" s="1"/>
  <c r="K101" s="1"/>
  <c r="H101" s="1"/>
  <c r="M102" s="1"/>
  <c r="H116" i="29" l="1"/>
  <c r="O102" i="26"/>
  <c r="K102" s="1"/>
  <c r="Z102"/>
  <c r="H117" i="29" l="1"/>
  <c r="Z105" i="27"/>
  <c r="H102" i="26"/>
  <c r="Z118" i="29" l="1"/>
  <c r="M103" i="26"/>
  <c r="O103" s="1"/>
  <c r="K103" s="1"/>
  <c r="H103" s="1"/>
  <c r="M104" s="1"/>
  <c r="H118" i="29" l="1"/>
  <c r="O104" i="26"/>
  <c r="K104" s="1"/>
  <c r="Z104"/>
  <c r="H119" i="29" l="1"/>
  <c r="Z107" i="27"/>
  <c r="H104" i="26"/>
  <c r="Z120" i="29" l="1"/>
  <c r="M105" i="26"/>
  <c r="O105" s="1"/>
  <c r="K105" s="1"/>
  <c r="H105" s="1"/>
  <c r="M106" s="1"/>
  <c r="H120" i="29" l="1"/>
  <c r="O106" i="26"/>
  <c r="K106" s="1"/>
  <c r="Z106"/>
  <c r="H121" i="29" l="1"/>
  <c r="Z109" i="27"/>
  <c r="H106" i="26"/>
  <c r="Z122" i="29" l="1"/>
  <c r="M107" i="26"/>
  <c r="O107" s="1"/>
  <c r="K107" s="1"/>
  <c r="H107" s="1"/>
  <c r="M108" s="1"/>
  <c r="H122" i="29" l="1"/>
  <c r="O108" i="26"/>
  <c r="K108" s="1"/>
  <c r="Z108"/>
  <c r="H123" i="29" l="1"/>
  <c r="Z111" i="27"/>
  <c r="H108" i="26"/>
  <c r="Z124" i="29" l="1"/>
  <c r="M109" i="26"/>
  <c r="O109" s="1"/>
  <c r="K109" s="1"/>
  <c r="H109" s="1"/>
  <c r="M110" s="1"/>
  <c r="H124" i="29" l="1"/>
  <c r="O110" i="26"/>
  <c r="K110" s="1"/>
  <c r="Z110"/>
  <c r="H125" i="29" l="1"/>
  <c r="Z113" i="27"/>
  <c r="H110" i="26"/>
  <c r="Z126" i="29" l="1"/>
  <c r="M111" i="26"/>
  <c r="O111" s="1"/>
  <c r="K111" s="1"/>
  <c r="H111" s="1"/>
  <c r="M112" s="1"/>
  <c r="H126" i="29" l="1"/>
  <c r="O112" i="26"/>
  <c r="K112" s="1"/>
  <c r="Z112"/>
  <c r="H127" i="29" l="1"/>
  <c r="Z115" i="27"/>
  <c r="H112" i="26"/>
  <c r="Z128" i="29" l="1"/>
  <c r="M113" i="26"/>
  <c r="O113" s="1"/>
  <c r="K113" s="1"/>
  <c r="H113" s="1"/>
  <c r="M114" s="1"/>
  <c r="H128" i="29" l="1"/>
  <c r="O114" i="26"/>
  <c r="K114" s="1"/>
  <c r="Z114"/>
  <c r="H129" i="29" l="1"/>
  <c r="Z117" i="27"/>
  <c r="H114" i="26"/>
  <c r="Z130" i="29" l="1"/>
  <c r="M115" i="26"/>
  <c r="O115" s="1"/>
  <c r="K115" s="1"/>
  <c r="H115" s="1"/>
  <c r="M116" s="1"/>
  <c r="H130" i="29" l="1"/>
  <c r="O116" i="26"/>
  <c r="K116" s="1"/>
  <c r="Z116"/>
  <c r="H131" i="29" l="1"/>
  <c r="Z119" i="27"/>
  <c r="H116" i="26"/>
  <c r="Z132" i="29" l="1"/>
  <c r="M117" i="26"/>
  <c r="O117" s="1"/>
  <c r="K117" s="1"/>
  <c r="H117" s="1"/>
  <c r="M118" s="1"/>
  <c r="H132" i="29" l="1"/>
  <c r="O118" i="26"/>
  <c r="K118" s="1"/>
  <c r="Z118"/>
  <c r="H133" i="29" l="1"/>
  <c r="Z121" i="27"/>
  <c r="H118" i="26"/>
  <c r="Z134" i="29" l="1"/>
  <c r="M119" i="26"/>
  <c r="O119" s="1"/>
  <c r="K119" s="1"/>
  <c r="H119" s="1"/>
  <c r="M120" s="1"/>
  <c r="H134" i="29" l="1"/>
  <c r="O120" i="26"/>
  <c r="K120" s="1"/>
  <c r="Z120"/>
  <c r="H135" i="29" l="1"/>
  <c r="Z123" i="27"/>
  <c r="H120" i="26"/>
  <c r="Z136" i="29" l="1"/>
  <c r="M121" i="26"/>
  <c r="O121" s="1"/>
  <c r="K121" s="1"/>
  <c r="H121" s="1"/>
  <c r="M122" s="1"/>
  <c r="H136" i="29" l="1"/>
  <c r="O122" i="26"/>
  <c r="K122" s="1"/>
  <c r="Z122"/>
  <c r="H137" i="29" l="1"/>
  <c r="Z125" i="27"/>
  <c r="H122" i="26"/>
  <c r="Z138" i="29" l="1"/>
  <c r="M123" i="26"/>
  <c r="O123" s="1"/>
  <c r="K123" s="1"/>
  <c r="H123" s="1"/>
  <c r="M124" s="1"/>
  <c r="H138" i="29" l="1"/>
  <c r="O124" i="26"/>
  <c r="K124" s="1"/>
  <c r="Z124"/>
  <c r="H139" i="29" l="1"/>
  <c r="Z127" i="27"/>
  <c r="H124" i="26"/>
  <c r="Z140" i="29" l="1"/>
  <c r="M125" i="26"/>
  <c r="O125" s="1"/>
  <c r="K125" s="1"/>
  <c r="H125" s="1"/>
  <c r="M126" s="1"/>
  <c r="H140" i="29" l="1"/>
  <c r="O126" i="26"/>
  <c r="Z126"/>
  <c r="H141" i="29" l="1"/>
  <c r="Z129" i="27"/>
  <c r="K126" i="26"/>
  <c r="Z142" i="29" l="1"/>
  <c r="H126" i="26"/>
  <c r="M127" s="1"/>
  <c r="H142" i="29" l="1"/>
  <c r="O127" i="26"/>
  <c r="H143" i="29" l="1"/>
  <c r="Z131" i="27"/>
  <c r="K127" i="26"/>
  <c r="Z144" i="29" l="1"/>
  <c r="H127" i="26"/>
  <c r="M128" s="1"/>
  <c r="H144" i="29" l="1"/>
  <c r="O128" i="26"/>
  <c r="Z128"/>
  <c r="H145" i="29" l="1"/>
  <c r="Z133" i="27"/>
  <c r="K128" i="26"/>
  <c r="Z146" i="29" l="1"/>
  <c r="H128" i="26"/>
  <c r="M129" s="1"/>
  <c r="H146" i="29" l="1"/>
  <c r="O129" i="26"/>
  <c r="H147" i="29" l="1"/>
  <c r="Z135" i="27"/>
  <c r="K129" i="26"/>
  <c r="Z148" i="29" l="1"/>
  <c r="H129" i="26"/>
  <c r="M130" s="1"/>
  <c r="H148" i="29" l="1"/>
  <c r="O130" i="26"/>
  <c r="Z130"/>
  <c r="H149" i="29" l="1"/>
  <c r="Z137" i="27"/>
  <c r="K130" i="26"/>
  <c r="Z150" i="29" l="1"/>
  <c r="H130" i="26"/>
  <c r="H150" i="29" l="1"/>
  <c r="M131" i="26"/>
  <c r="O131" s="1"/>
  <c r="K131" s="1"/>
  <c r="H151" i="29" l="1"/>
  <c r="Z139" i="27"/>
  <c r="H131" i="26"/>
  <c r="M132" s="1"/>
  <c r="Z132" s="1"/>
  <c r="Z152" i="29" l="1"/>
  <c r="O132" i="26"/>
  <c r="K132" s="1"/>
  <c r="H152" i="29" l="1"/>
  <c r="H132" i="26"/>
  <c r="M133" s="1"/>
  <c r="O133" s="1"/>
  <c r="K133" s="1"/>
  <c r="H153" i="29" l="1"/>
  <c r="Z141" i="27"/>
  <c r="H133" i="26"/>
  <c r="M134" s="1"/>
  <c r="O134" s="1"/>
  <c r="K134" s="1"/>
  <c r="Z154" i="29" l="1"/>
  <c r="Z134" i="26"/>
  <c r="H134"/>
  <c r="H154" i="29" l="1"/>
  <c r="M135" i="26"/>
  <c r="O135" s="1"/>
  <c r="K135" s="1"/>
  <c r="H155" i="29" l="1"/>
  <c r="Z143" i="27"/>
  <c r="H135" i="26"/>
  <c r="M136" s="1"/>
  <c r="Z136" s="1"/>
  <c r="H17" i="2"/>
  <c r="B19" s="1"/>
  <c r="Z156" i="29" l="1"/>
  <c r="O136" i="26"/>
  <c r="K136" s="1"/>
  <c r="H19" i="2"/>
  <c r="B40"/>
  <c r="H156" i="29" l="1"/>
  <c r="H136" i="26"/>
  <c r="M137" s="1"/>
  <c r="O137" s="1"/>
  <c r="K137" s="1"/>
  <c r="M19" i="2"/>
  <c r="M20"/>
  <c r="H157" i="29" l="1"/>
  <c r="Z145" i="27"/>
  <c r="H137" i="26"/>
  <c r="M138" s="1"/>
  <c r="O138" s="1"/>
  <c r="K138" s="1"/>
  <c r="M40" i="2"/>
  <c r="O19"/>
  <c r="O40" s="1"/>
  <c r="U20"/>
  <c r="Q20"/>
  <c r="O20"/>
  <c r="K17"/>
  <c r="K19" s="1"/>
  <c r="Z138" i="26" l="1"/>
  <c r="Z158" i="29"/>
  <c r="H138" i="26"/>
  <c r="K20" i="2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6" s="1"/>
  <c r="K37" s="1"/>
  <c r="K38" s="1"/>
  <c r="K39" s="1"/>
  <c r="T20"/>
  <c r="X21"/>
  <c r="H158" i="29" l="1"/>
  <c r="M139" i="26"/>
  <c r="O139" s="1"/>
  <c r="K139" s="1"/>
  <c r="B40" i="13"/>
  <c r="H159" i="29" l="1"/>
  <c r="Z147" i="27"/>
  <c r="H139" i="26"/>
  <c r="M140" s="1"/>
  <c r="Z140" s="1"/>
  <c r="Z160" i="29" l="1"/>
  <c r="O140" i="26"/>
  <c r="K140" s="1"/>
  <c r="H140" s="1"/>
  <c r="H160" i="29" l="1"/>
  <c r="M141" i="26"/>
  <c r="O141" s="1"/>
  <c r="K141" s="1"/>
  <c r="H161" i="29" l="1"/>
  <c r="Z149" i="27"/>
  <c r="H141" i="26"/>
  <c r="M142" s="1"/>
  <c r="Z142" s="1"/>
  <c r="Q162" i="29" l="1"/>
  <c r="Z162"/>
  <c r="U162"/>
  <c r="O142" i="26"/>
  <c r="K142" s="1"/>
  <c r="H142" s="1"/>
  <c r="T162" i="29" l="1"/>
  <c r="M143" i="26"/>
  <c r="O143" s="1"/>
  <c r="K143" s="1"/>
  <c r="H162" i="29" l="1"/>
  <c r="Z151" i="27"/>
  <c r="H143" i="26"/>
  <c r="M144" s="1"/>
  <c r="Z144" s="1"/>
  <c r="O144" l="1"/>
  <c r="K144" s="1"/>
  <c r="H144" s="1"/>
  <c r="X163" i="29" l="1"/>
  <c r="M145" i="26"/>
  <c r="O145" s="1"/>
  <c r="K145" s="1"/>
  <c r="H163" i="29" l="1"/>
  <c r="Z153" i="27"/>
  <c r="H145" i="26"/>
  <c r="M146" s="1"/>
  <c r="O146" s="1"/>
  <c r="K146" s="1"/>
  <c r="Z164" i="29" l="1"/>
  <c r="Q164"/>
  <c r="U164"/>
  <c r="Z146" i="26"/>
  <c r="H146"/>
  <c r="T164" i="29" l="1"/>
  <c r="M147" i="26"/>
  <c r="O147" s="1"/>
  <c r="K147" s="1"/>
  <c r="H164" i="29" l="1"/>
  <c r="Z155" i="27"/>
  <c r="H147" i="26"/>
  <c r="M148" s="1"/>
  <c r="O148" s="1"/>
  <c r="K148" s="1"/>
  <c r="Z148" l="1"/>
  <c r="H148"/>
  <c r="X165" i="29" l="1"/>
  <c r="M149" i="26"/>
  <c r="O149" s="1"/>
  <c r="K149" s="1"/>
  <c r="H165" i="29" l="1"/>
  <c r="Z157" i="27"/>
  <c r="H149" i="26"/>
  <c r="M150" s="1"/>
  <c r="O150" s="1"/>
  <c r="K150" s="1"/>
  <c r="Z166" i="29" l="1"/>
  <c r="Q166"/>
  <c r="U166"/>
  <c r="Z150" i="26"/>
  <c r="H150"/>
  <c r="T166" i="29" l="1"/>
  <c r="M151" i="26"/>
  <c r="O151" s="1"/>
  <c r="K151" s="1"/>
  <c r="H151" s="1"/>
  <c r="M152" s="1"/>
  <c r="H166" i="29" l="1"/>
  <c r="Z159" i="27"/>
  <c r="O152" i="26"/>
  <c r="K152" s="1"/>
  <c r="Z152"/>
  <c r="M168" i="29" l="1"/>
  <c r="H152" i="26"/>
  <c r="O168" i="29" l="1"/>
  <c r="X167"/>
  <c r="M153" i="26"/>
  <c r="O153" s="1"/>
  <c r="K153" s="1"/>
  <c r="K170" i="29" l="1"/>
  <c r="H167"/>
  <c r="H170" s="1"/>
  <c r="Q161" i="27"/>
  <c r="Z161"/>
  <c r="U161"/>
  <c r="H153" i="26"/>
  <c r="M154" s="1"/>
  <c r="O154" s="1"/>
  <c r="K154" s="1"/>
  <c r="T161" i="27" l="1"/>
  <c r="Z154" i="26"/>
  <c r="H154"/>
  <c r="M155" l="1"/>
  <c r="O155" s="1"/>
  <c r="K155" s="1"/>
  <c r="H155" s="1"/>
  <c r="M156" s="1"/>
  <c r="O156" l="1"/>
  <c r="K156" s="1"/>
  <c r="Z156"/>
  <c r="X162" i="27" l="1"/>
  <c r="H156" i="26"/>
  <c r="M157" l="1"/>
  <c r="O157" s="1"/>
  <c r="K157" s="1"/>
  <c r="Z163" i="27" l="1"/>
  <c r="Q163"/>
  <c r="U163"/>
  <c r="H157" i="26"/>
  <c r="M158" s="1"/>
  <c r="U158" s="1"/>
  <c r="T163" i="27" l="1"/>
  <c r="Z158" i="26"/>
  <c r="O158"/>
  <c r="K158" s="1"/>
  <c r="Q158"/>
  <c r="T158" l="1"/>
  <c r="H158"/>
  <c r="M159" s="1"/>
  <c r="O159" l="1"/>
  <c r="X164" i="27" l="1"/>
  <c r="X159" i="26"/>
  <c r="K159"/>
  <c r="H159" l="1"/>
  <c r="M160" s="1"/>
  <c r="Z165" i="27" l="1"/>
  <c r="Q165"/>
  <c r="U165"/>
  <c r="Z160" i="26"/>
  <c r="O160"/>
  <c r="Q160"/>
  <c r="U160"/>
  <c r="T165" i="27" l="1"/>
  <c r="T160" i="26"/>
  <c r="K160"/>
  <c r="H160" l="1"/>
  <c r="M161" s="1"/>
  <c r="O161" l="1"/>
  <c r="X166" i="27" l="1"/>
  <c r="X161" i="26"/>
  <c r="K161"/>
  <c r="K169" i="27" l="1"/>
  <c r="H169"/>
  <c r="H161" i="26"/>
  <c r="M162" s="1"/>
  <c r="Z162" l="1"/>
  <c r="O162"/>
  <c r="Q162"/>
  <c r="U162"/>
  <c r="T162" l="1"/>
  <c r="K162"/>
  <c r="H162" l="1"/>
  <c r="M163" s="1"/>
  <c r="O163" s="1"/>
  <c r="M164" l="1"/>
  <c r="O164" l="1"/>
  <c r="O166" s="1"/>
  <c r="X163"/>
  <c r="K163"/>
  <c r="K166" s="1"/>
  <c r="M166" l="1"/>
  <c r="H163"/>
  <c r="H166" s="1"/>
  <c r="M21" i="21"/>
  <c r="O21" s="1"/>
  <c r="O20"/>
  <c r="K20"/>
  <c r="K21" l="1"/>
  <c r="H21" s="1"/>
  <c r="M22" s="1"/>
  <c r="Q21"/>
  <c r="T21"/>
  <c r="Z21"/>
  <c r="U21"/>
  <c r="O22" l="1"/>
  <c r="X22" l="1"/>
  <c r="K22"/>
  <c r="H22" l="1"/>
  <c r="M23" s="1"/>
  <c r="Q23" l="1"/>
  <c r="Z23"/>
  <c r="O23"/>
  <c r="U23"/>
  <c r="T23" l="1"/>
  <c r="K23"/>
  <c r="H23" l="1"/>
  <c r="M24" s="1"/>
  <c r="O24" l="1"/>
  <c r="X24" l="1"/>
  <c r="K24"/>
  <c r="H24" l="1"/>
  <c r="M25" s="1"/>
  <c r="O25" l="1"/>
  <c r="Q25"/>
  <c r="Z25"/>
  <c r="U25"/>
  <c r="T25" l="1"/>
  <c r="K25"/>
  <c r="H25" l="1"/>
  <c r="M26" s="1"/>
  <c r="O26" l="1"/>
  <c r="X26" l="1"/>
  <c r="K26"/>
  <c r="H26" l="1"/>
  <c r="M27" s="1"/>
  <c r="O27" l="1"/>
  <c r="Q27"/>
  <c r="Z27"/>
  <c r="U27"/>
  <c r="T27" l="1"/>
  <c r="K27"/>
  <c r="H27" l="1"/>
  <c r="M28" s="1"/>
  <c r="O28" l="1"/>
  <c r="X28" l="1"/>
  <c r="K28"/>
  <c r="H28" l="1"/>
  <c r="M29" s="1"/>
  <c r="O29" l="1"/>
  <c r="Z29"/>
  <c r="Q29"/>
  <c r="U29"/>
  <c r="T29" l="1"/>
  <c r="K29"/>
  <c r="H29" l="1"/>
  <c r="M30" s="1"/>
  <c r="O30" l="1"/>
  <c r="X30" l="1"/>
  <c r="K30"/>
  <c r="H30" l="1"/>
  <c r="M31" s="1"/>
  <c r="Z31" l="1"/>
  <c r="O31"/>
  <c r="K31" s="1"/>
  <c r="H31" l="1"/>
  <c r="M32" s="1"/>
  <c r="O32" s="1"/>
  <c r="K32" s="1"/>
  <c r="H32" l="1"/>
  <c r="M33" s="1"/>
  <c r="O33" l="1"/>
  <c r="K33" s="1"/>
  <c r="Z33"/>
  <c r="H33" l="1"/>
  <c r="M34" s="1"/>
  <c r="O34" s="1"/>
  <c r="K34" s="1"/>
  <c r="H34" l="1"/>
  <c r="M35" s="1"/>
  <c r="O35" l="1"/>
  <c r="K35" s="1"/>
  <c r="Z35"/>
  <c r="H35" l="1"/>
  <c r="M36" s="1"/>
  <c r="O36" s="1"/>
  <c r="K36" s="1"/>
  <c r="H36" l="1"/>
  <c r="M37" s="1"/>
  <c r="O37" l="1"/>
  <c r="K37" s="1"/>
  <c r="Z37"/>
  <c r="H37" l="1"/>
  <c r="M38" s="1"/>
  <c r="O38" s="1"/>
  <c r="K38" s="1"/>
  <c r="H38" l="1"/>
  <c r="M39" s="1"/>
  <c r="O39" l="1"/>
  <c r="K39" s="1"/>
  <c r="Z39"/>
  <c r="H39" l="1"/>
  <c r="M40" s="1"/>
  <c r="O40" s="1"/>
  <c r="K40" s="1"/>
  <c r="H40" l="1"/>
  <c r="M41" s="1"/>
  <c r="O41" l="1"/>
  <c r="K41" s="1"/>
  <c r="Z41"/>
  <c r="H41" l="1"/>
  <c r="M42" s="1"/>
  <c r="O42" s="1"/>
  <c r="K42" s="1"/>
  <c r="H42" l="1"/>
  <c r="M43" s="1"/>
  <c r="O43" l="1"/>
  <c r="K43" s="1"/>
  <c r="Z43"/>
  <c r="H43" l="1"/>
  <c r="M44" s="1"/>
  <c r="O44" s="1"/>
  <c r="K44" s="1"/>
  <c r="H44" l="1"/>
  <c r="M45" s="1"/>
  <c r="O45" l="1"/>
  <c r="K45" s="1"/>
  <c r="Z45"/>
  <c r="H45" l="1"/>
  <c r="M46" s="1"/>
  <c r="O46" s="1"/>
  <c r="K46" s="1"/>
  <c r="H46" l="1"/>
  <c r="M47" s="1"/>
  <c r="Z47" l="1"/>
  <c r="O47"/>
  <c r="K47" s="1"/>
  <c r="H47" l="1"/>
  <c r="M48" s="1"/>
  <c r="O48" s="1"/>
  <c r="K48" s="1"/>
  <c r="H48" l="1"/>
  <c r="M49" s="1"/>
  <c r="Z49" l="1"/>
  <c r="O49"/>
  <c r="K49" s="1"/>
  <c r="H49" l="1"/>
  <c r="M50" s="1"/>
  <c r="O50" s="1"/>
  <c r="K50" s="1"/>
  <c r="H50" l="1"/>
  <c r="M51" s="1"/>
  <c r="Z51" l="1"/>
  <c r="O51"/>
  <c r="K51" s="1"/>
  <c r="H51" l="1"/>
  <c r="M52" s="1"/>
  <c r="O52" s="1"/>
  <c r="K52" s="1"/>
  <c r="H52" l="1"/>
  <c r="M53" s="1"/>
  <c r="O53" l="1"/>
  <c r="K53" s="1"/>
  <c r="Z53"/>
  <c r="K54" l="1"/>
  <c r="H53"/>
  <c r="M54" s="1"/>
  <c r="O54" s="1"/>
  <c r="H54" l="1"/>
  <c r="M55" s="1"/>
  <c r="O55" l="1"/>
  <c r="K55" s="1"/>
  <c r="Z55"/>
  <c r="H55" l="1"/>
  <c r="M56" s="1"/>
  <c r="O56" s="1"/>
  <c r="K56" s="1"/>
  <c r="H56" l="1"/>
  <c r="M57" s="1"/>
  <c r="O57" l="1"/>
  <c r="K57" s="1"/>
  <c r="Z57"/>
  <c r="H57" l="1"/>
  <c r="M58" s="1"/>
  <c r="O58" s="1"/>
  <c r="K58" s="1"/>
  <c r="H58" l="1"/>
  <c r="M59" s="1"/>
  <c r="O59" l="1"/>
  <c r="K59" s="1"/>
  <c r="Z59"/>
  <c r="H59" l="1"/>
  <c r="M60" s="1"/>
  <c r="O60" s="1"/>
  <c r="K60" s="1"/>
  <c r="H60" l="1"/>
  <c r="M61" s="1"/>
  <c r="O61" l="1"/>
  <c r="K61" s="1"/>
  <c r="Z61"/>
  <c r="H61" l="1"/>
  <c r="M62" s="1"/>
  <c r="O62" s="1"/>
  <c r="K62" s="1"/>
  <c r="H62" l="1"/>
  <c r="M63" s="1"/>
  <c r="O63" l="1"/>
  <c r="K63" s="1"/>
  <c r="Z63"/>
  <c r="H63" l="1"/>
  <c r="M64" s="1"/>
  <c r="O64" s="1"/>
  <c r="K64" s="1"/>
  <c r="H64" l="1"/>
  <c r="M65" s="1"/>
  <c r="O65" l="1"/>
  <c r="K65" s="1"/>
  <c r="Z65"/>
  <c r="H65" l="1"/>
  <c r="M66" s="1"/>
  <c r="O66" s="1"/>
  <c r="K66" s="1"/>
  <c r="H66" l="1"/>
  <c r="M67" s="1"/>
  <c r="O67" l="1"/>
  <c r="K67" s="1"/>
  <c r="Z67"/>
  <c r="H67" l="1"/>
  <c r="M68" s="1"/>
  <c r="O68" s="1"/>
  <c r="K68" s="1"/>
  <c r="H68" l="1"/>
  <c r="M69" s="1"/>
  <c r="Z69" l="1"/>
  <c r="O69"/>
  <c r="K69" s="1"/>
  <c r="H69" l="1"/>
  <c r="M70" s="1"/>
  <c r="O70" s="1"/>
  <c r="K70" s="1"/>
  <c r="H70" l="1"/>
  <c r="M71" s="1"/>
  <c r="O71" l="1"/>
  <c r="K71" s="1"/>
  <c r="Z71"/>
  <c r="H71" l="1"/>
  <c r="M72" s="1"/>
  <c r="O72" s="1"/>
  <c r="K72" s="1"/>
  <c r="H72" l="1"/>
  <c r="M73" s="1"/>
  <c r="Z73" l="1"/>
  <c r="O73"/>
  <c r="K73" s="1"/>
  <c r="H73" l="1"/>
  <c r="M74" s="1"/>
  <c r="O74" s="1"/>
  <c r="K74" s="1"/>
  <c r="H74" l="1"/>
  <c r="M75" s="1"/>
  <c r="O75" l="1"/>
  <c r="K75" s="1"/>
  <c r="Z75"/>
  <c r="H75" l="1"/>
  <c r="M76" s="1"/>
  <c r="O76" s="1"/>
  <c r="K76" s="1"/>
  <c r="H76" l="1"/>
  <c r="M77" s="1"/>
  <c r="O77" l="1"/>
  <c r="K77" s="1"/>
  <c r="Z77"/>
  <c r="H77" l="1"/>
  <c r="M78" s="1"/>
  <c r="O78" s="1"/>
  <c r="K78" s="1"/>
  <c r="H78" l="1"/>
  <c r="M79" s="1"/>
  <c r="O79" l="1"/>
  <c r="K79" s="1"/>
  <c r="Z79"/>
  <c r="H79" l="1"/>
  <c r="M80" s="1"/>
  <c r="O80" s="1"/>
  <c r="K80" s="1"/>
  <c r="H80" l="1"/>
  <c r="M81" s="1"/>
  <c r="Z81" l="1"/>
  <c r="O81"/>
  <c r="K81" s="1"/>
  <c r="H81" l="1"/>
  <c r="M82" s="1"/>
  <c r="O82" s="1"/>
  <c r="K82" s="1"/>
  <c r="H82" l="1"/>
  <c r="M83" s="1"/>
  <c r="Z83" l="1"/>
  <c r="O83"/>
  <c r="K83" s="1"/>
  <c r="H83" l="1"/>
  <c r="M84" s="1"/>
  <c r="O84" s="1"/>
  <c r="K84" s="1"/>
  <c r="H84" l="1"/>
  <c r="M85" s="1"/>
  <c r="O85" l="1"/>
  <c r="K85" s="1"/>
  <c r="Z85"/>
  <c r="H85" l="1"/>
  <c r="M86" s="1"/>
  <c r="O86" s="1"/>
  <c r="K86" s="1"/>
  <c r="H86" l="1"/>
  <c r="M87" s="1"/>
  <c r="Z87" l="1"/>
  <c r="O87"/>
  <c r="K87" s="1"/>
  <c r="H87" l="1"/>
  <c r="M88" s="1"/>
  <c r="O88" s="1"/>
  <c r="K88" s="1"/>
  <c r="H88" l="1"/>
  <c r="M89" s="1"/>
  <c r="O89" l="1"/>
  <c r="K89" s="1"/>
  <c r="Z89"/>
  <c r="H89" l="1"/>
  <c r="M90" s="1"/>
  <c r="O90" s="1"/>
  <c r="K90" s="1"/>
  <c r="H90" l="1"/>
  <c r="M91" s="1"/>
  <c r="O91" l="1"/>
  <c r="K91" s="1"/>
  <c r="Z91"/>
  <c r="H91" l="1"/>
  <c r="M92" s="1"/>
  <c r="O92" s="1"/>
  <c r="K92" s="1"/>
  <c r="H92" l="1"/>
  <c r="M93" s="1"/>
  <c r="Z93" l="1"/>
  <c r="O93"/>
  <c r="K93" s="1"/>
  <c r="H93" l="1"/>
  <c r="M94" s="1"/>
  <c r="O94" s="1"/>
  <c r="K94" s="1"/>
  <c r="H94" l="1"/>
  <c r="M95" s="1"/>
  <c r="Z95" l="1"/>
  <c r="O95"/>
  <c r="K95" s="1"/>
  <c r="H95" l="1"/>
  <c r="M96" s="1"/>
  <c r="O96" s="1"/>
  <c r="K96" s="1"/>
  <c r="H96" l="1"/>
  <c r="M97" s="1"/>
  <c r="O97" l="1"/>
  <c r="K97" s="1"/>
  <c r="Z97"/>
  <c r="H97" l="1"/>
  <c r="M98" s="1"/>
  <c r="O98" s="1"/>
  <c r="K98" s="1"/>
  <c r="H98" l="1"/>
  <c r="M99" s="1"/>
  <c r="O99" l="1"/>
  <c r="K99" s="1"/>
  <c r="Z99"/>
  <c r="H99" l="1"/>
  <c r="M100" s="1"/>
  <c r="O100" s="1"/>
  <c r="K100" s="1"/>
  <c r="H100" l="1"/>
  <c r="M101" s="1"/>
  <c r="Z101" l="1"/>
  <c r="O101"/>
  <c r="K101" s="1"/>
  <c r="H101" l="1"/>
  <c r="M102" s="1"/>
  <c r="O102" s="1"/>
  <c r="K102" s="1"/>
  <c r="H102" l="1"/>
  <c r="M103" s="1"/>
  <c r="O103" l="1"/>
  <c r="K103" s="1"/>
  <c r="Z103"/>
  <c r="H103" l="1"/>
  <c r="M104" s="1"/>
  <c r="O104" s="1"/>
  <c r="K104" s="1"/>
  <c r="H104" l="1"/>
  <c r="M105" s="1"/>
  <c r="O105" l="1"/>
  <c r="K105" s="1"/>
  <c r="Z105"/>
  <c r="H105" l="1"/>
  <c r="M106" s="1"/>
  <c r="O106" s="1"/>
  <c r="K106" s="1"/>
  <c r="H106" l="1"/>
  <c r="M107" s="1"/>
  <c r="O107" l="1"/>
  <c r="K107" s="1"/>
  <c r="Z107"/>
  <c r="H107" l="1"/>
  <c r="M108" s="1"/>
  <c r="O108" s="1"/>
  <c r="K108" s="1"/>
  <c r="H108" l="1"/>
  <c r="M109" s="1"/>
  <c r="O109" l="1"/>
  <c r="K109" s="1"/>
  <c r="Z109"/>
  <c r="H109" l="1"/>
  <c r="M110" s="1"/>
  <c r="O110" s="1"/>
  <c r="K110" s="1"/>
  <c r="H110" l="1"/>
  <c r="M111" s="1"/>
  <c r="Z111" l="1"/>
  <c r="O111"/>
  <c r="K111" s="1"/>
  <c r="H111" l="1"/>
  <c r="M112" s="1"/>
  <c r="O112" s="1"/>
  <c r="K112" s="1"/>
  <c r="H112" l="1"/>
  <c r="M113" s="1"/>
  <c r="Z113" l="1"/>
  <c r="O113"/>
  <c r="K113" s="1"/>
  <c r="H113" l="1"/>
  <c r="M114" s="1"/>
  <c r="O114" s="1"/>
  <c r="K114" s="1"/>
  <c r="H114" l="1"/>
  <c r="M115" s="1"/>
  <c r="Z115" l="1"/>
  <c r="O115"/>
  <c r="K115" s="1"/>
  <c r="H115" l="1"/>
  <c r="M116" s="1"/>
  <c r="O116" s="1"/>
  <c r="K116" s="1"/>
  <c r="H116" l="1"/>
  <c r="M117" s="1"/>
  <c r="Z117" l="1"/>
  <c r="O117"/>
  <c r="K117" s="1"/>
  <c r="H117" l="1"/>
  <c r="M118" s="1"/>
  <c r="O118" s="1"/>
  <c r="K118" s="1"/>
  <c r="H118" l="1"/>
  <c r="M119" s="1"/>
  <c r="O119" l="1"/>
  <c r="K119" s="1"/>
  <c r="Z119"/>
  <c r="H119" l="1"/>
  <c r="M120" s="1"/>
  <c r="O120" s="1"/>
  <c r="K120" s="1"/>
  <c r="H120" l="1"/>
  <c r="M121" s="1"/>
  <c r="Z121" l="1"/>
  <c r="O121"/>
  <c r="K121" s="1"/>
  <c r="H121" l="1"/>
  <c r="M122" s="1"/>
  <c r="O122" s="1"/>
  <c r="K122" s="1"/>
  <c r="H122" l="1"/>
  <c r="M123" s="1"/>
  <c r="Z123" l="1"/>
  <c r="O123"/>
  <c r="K123" s="1"/>
  <c r="H123" l="1"/>
  <c r="M124" s="1"/>
  <c r="O124" s="1"/>
  <c r="K124" s="1"/>
  <c r="H124" l="1"/>
  <c r="M125" s="1"/>
  <c r="Z125" l="1"/>
  <c r="O125"/>
  <c r="K125" s="1"/>
  <c r="H125" l="1"/>
  <c r="M126" s="1"/>
  <c r="O126" s="1"/>
  <c r="K126" s="1"/>
  <c r="H126" l="1"/>
  <c r="M127" s="1"/>
  <c r="O127" l="1"/>
  <c r="K127" s="1"/>
  <c r="Z127"/>
  <c r="H127" l="1"/>
  <c r="M128" s="1"/>
  <c r="O128" s="1"/>
  <c r="K128" s="1"/>
  <c r="H128" l="1"/>
  <c r="M129" s="1"/>
  <c r="Z129" l="1"/>
  <c r="O129"/>
  <c r="K129" s="1"/>
  <c r="H129" l="1"/>
  <c r="M130" s="1"/>
  <c r="O130" s="1"/>
  <c r="K130" s="1"/>
  <c r="H130" l="1"/>
  <c r="M131" s="1"/>
  <c r="Z131" l="1"/>
  <c r="O131"/>
  <c r="K131" s="1"/>
  <c r="H131" l="1"/>
  <c r="M132" s="1"/>
  <c r="O132" s="1"/>
  <c r="K132" s="1"/>
  <c r="H132" l="1"/>
  <c r="M133" s="1"/>
  <c r="O133" l="1"/>
  <c r="K133" s="1"/>
  <c r="Z133"/>
  <c r="H133" l="1"/>
  <c r="M134" s="1"/>
  <c r="O134" s="1"/>
  <c r="K134" s="1"/>
  <c r="H134" l="1"/>
  <c r="M135" s="1"/>
  <c r="O135" l="1"/>
  <c r="K135" s="1"/>
  <c r="Z135"/>
  <c r="H135" l="1"/>
  <c r="M136" s="1"/>
  <c r="O136" s="1"/>
  <c r="K136" s="1"/>
  <c r="H136" l="1"/>
  <c r="M137" s="1"/>
  <c r="Z137" l="1"/>
  <c r="O137"/>
  <c r="K137" s="1"/>
  <c r="H137" l="1"/>
  <c r="M138" s="1"/>
  <c r="O138" s="1"/>
  <c r="K138" s="1"/>
  <c r="H138" l="1"/>
  <c r="M139" s="1"/>
  <c r="Z139" l="1"/>
  <c r="O139"/>
  <c r="K139" s="1"/>
  <c r="H139" l="1"/>
  <c r="M140" s="1"/>
  <c r="O140" s="1"/>
  <c r="K140" s="1"/>
  <c r="H140" l="1"/>
  <c r="M141" s="1"/>
  <c r="O141" l="1"/>
  <c r="K141" s="1"/>
  <c r="Z141"/>
  <c r="H141" l="1"/>
  <c r="M142" s="1"/>
  <c r="O142" s="1"/>
  <c r="K142" s="1"/>
  <c r="H142" l="1"/>
  <c r="M143" s="1"/>
  <c r="Z143" l="1"/>
  <c r="O143"/>
  <c r="K143" s="1"/>
  <c r="H143" l="1"/>
  <c r="M144" s="1"/>
  <c r="O144" s="1"/>
  <c r="K144" s="1"/>
  <c r="H144" l="1"/>
  <c r="M145" s="1"/>
  <c r="O145" l="1"/>
  <c r="K145" s="1"/>
  <c r="Z145"/>
  <c r="H145" l="1"/>
  <c r="M146" s="1"/>
  <c r="O146" s="1"/>
  <c r="K146" s="1"/>
  <c r="H146" l="1"/>
  <c r="M147" s="1"/>
  <c r="O147" l="1"/>
  <c r="K147" s="1"/>
  <c r="Z147"/>
  <c r="H147" l="1"/>
  <c r="M148" s="1"/>
  <c r="O148" s="1"/>
  <c r="K148" s="1"/>
  <c r="H148" l="1"/>
  <c r="M149" s="1"/>
  <c r="O149" l="1"/>
  <c r="K149" s="1"/>
  <c r="Z149"/>
  <c r="H149" l="1"/>
  <c r="M150" s="1"/>
  <c r="O150" s="1"/>
  <c r="K150" s="1"/>
  <c r="H150" l="1"/>
  <c r="M151" s="1"/>
  <c r="Z151" l="1"/>
  <c r="O151"/>
  <c r="K151" s="1"/>
  <c r="H151" l="1"/>
  <c r="M152" s="1"/>
  <c r="O152" s="1"/>
  <c r="K152" s="1"/>
  <c r="H152" l="1"/>
  <c r="M153" s="1"/>
  <c r="Z153" l="1"/>
  <c r="O153"/>
  <c r="K153" s="1"/>
  <c r="H153" l="1"/>
  <c r="M154" s="1"/>
  <c r="O154" s="1"/>
  <c r="K154" s="1"/>
  <c r="H154" l="1"/>
  <c r="M155" s="1"/>
  <c r="O155" l="1"/>
  <c r="K155" s="1"/>
  <c r="Z155"/>
  <c r="H155" l="1"/>
  <c r="M156" s="1"/>
  <c r="O156" s="1"/>
  <c r="K156" s="1"/>
  <c r="H156" l="1"/>
  <c r="M157" s="1"/>
  <c r="Z157" l="1"/>
  <c r="O157"/>
  <c r="K157" s="1"/>
  <c r="H157" l="1"/>
  <c r="M158" s="1"/>
  <c r="O158" s="1"/>
  <c r="K158" s="1"/>
  <c r="H158" l="1"/>
  <c r="M159" s="1"/>
  <c r="Z159" l="1"/>
  <c r="O159"/>
  <c r="K159" s="1"/>
  <c r="H159" l="1"/>
  <c r="M160" s="1"/>
  <c r="O160" s="1"/>
  <c r="K160" s="1"/>
  <c r="H160" l="1"/>
  <c r="M161" s="1"/>
  <c r="Z161" l="1"/>
  <c r="Q161"/>
  <c r="O161"/>
  <c r="U161"/>
  <c r="T161" l="1"/>
  <c r="K161"/>
  <c r="H161" l="1"/>
  <c r="M162" s="1"/>
  <c r="O162" l="1"/>
  <c r="X162" l="1"/>
  <c r="K162"/>
  <c r="H162" l="1"/>
  <c r="M163" s="1"/>
  <c r="Q163" l="1"/>
  <c r="Z163"/>
  <c r="O163"/>
  <c r="U163"/>
  <c r="T163" l="1"/>
  <c r="K163"/>
  <c r="H163" l="1"/>
  <c r="M164" s="1"/>
  <c r="O164" l="1"/>
  <c r="X164" l="1"/>
  <c r="K164"/>
  <c r="H164" l="1"/>
  <c r="M165" s="1"/>
  <c r="O165" l="1"/>
  <c r="Q165"/>
  <c r="Z165"/>
  <c r="U165"/>
  <c r="T165" l="1"/>
  <c r="K165"/>
  <c r="H165" l="1"/>
  <c r="M166" s="1"/>
  <c r="M167" s="1"/>
  <c r="O166" l="1"/>
  <c r="O167" l="1"/>
  <c r="X166"/>
  <c r="K166"/>
  <c r="O169" l="1"/>
  <c r="M169"/>
  <c r="H166"/>
  <c r="H169" s="1"/>
  <c r="K169"/>
  <c r="V14" i="22" l="1"/>
  <c r="P14"/>
  <c r="L14" s="1"/>
  <c r="AA14"/>
  <c r="U14" l="1"/>
  <c r="Y14"/>
  <c r="I14" l="1"/>
  <c r="N15" s="1"/>
  <c r="V15" l="1"/>
  <c r="P15"/>
  <c r="L15" s="1"/>
  <c r="U15" l="1"/>
  <c r="Y15"/>
  <c r="I15" l="1"/>
  <c r="N16" s="1"/>
  <c r="AA16" l="1"/>
  <c r="P16"/>
  <c r="L16" s="1"/>
  <c r="R16"/>
  <c r="V16"/>
  <c r="U16" l="1"/>
  <c r="I16" l="1"/>
  <c r="N17" s="1"/>
  <c r="P17" l="1"/>
  <c r="L17" s="1"/>
  <c r="Y17" l="1"/>
  <c r="I17" l="1"/>
  <c r="N18" s="1"/>
  <c r="R18" l="1"/>
  <c r="P18"/>
  <c r="L18" s="1"/>
  <c r="AA18"/>
  <c r="V18"/>
  <c r="U18" l="1"/>
  <c r="I18" l="1"/>
  <c r="N19" s="1"/>
  <c r="P19" l="1"/>
  <c r="L19" s="1"/>
  <c r="Y19" l="1"/>
  <c r="I19" l="1"/>
  <c r="N20" s="1"/>
  <c r="P20" l="1"/>
  <c r="L20" s="1"/>
  <c r="AA20"/>
  <c r="R20"/>
  <c r="V20"/>
  <c r="U20" l="1"/>
  <c r="I20" l="1"/>
  <c r="N21" s="1"/>
  <c r="P21" l="1"/>
  <c r="L21" s="1"/>
  <c r="Y21" l="1"/>
  <c r="I21" l="1"/>
  <c r="N22" s="1"/>
  <c r="AA22" l="1"/>
  <c r="R22"/>
  <c r="P22"/>
  <c r="L22" s="1"/>
  <c r="V22"/>
  <c r="U22" l="1"/>
  <c r="I22" l="1"/>
  <c r="N23" s="1"/>
  <c r="P23" l="1"/>
  <c r="L23" s="1"/>
  <c r="Y23" l="1"/>
  <c r="I23" l="1"/>
  <c r="N24" s="1"/>
  <c r="R24" l="1"/>
  <c r="AA24"/>
  <c r="P24"/>
  <c r="L24" s="1"/>
  <c r="V24"/>
  <c r="U24" l="1"/>
  <c r="I24" l="1"/>
  <c r="N25" s="1"/>
  <c r="P25" l="1"/>
  <c r="L25" s="1"/>
  <c r="Y25" l="1"/>
  <c r="I25" l="1"/>
  <c r="N26" s="1"/>
  <c r="R26" l="1"/>
  <c r="AA26"/>
  <c r="P26"/>
  <c r="L26" s="1"/>
  <c r="V26"/>
  <c r="U26" l="1"/>
  <c r="I26" l="1"/>
  <c r="N27" s="1"/>
  <c r="P27" s="1"/>
  <c r="L27" s="1"/>
  <c r="Y27" l="1"/>
  <c r="I27" l="1"/>
  <c r="N28" s="1"/>
  <c r="P28" s="1"/>
  <c r="L28" s="1"/>
  <c r="AA28" l="1"/>
  <c r="I28"/>
  <c r="N29" s="1"/>
  <c r="P29" s="1"/>
  <c r="L29" s="1"/>
  <c r="I29" l="1"/>
  <c r="N30" s="1"/>
  <c r="AA30" l="1"/>
  <c r="P30"/>
  <c r="L30" s="1"/>
  <c r="I30" l="1"/>
  <c r="N31" s="1"/>
  <c r="P31" s="1"/>
  <c r="L31" s="1"/>
  <c r="I31" l="1"/>
  <c r="N32" s="1"/>
  <c r="AA32" l="1"/>
  <c r="P32"/>
  <c r="L32" s="1"/>
  <c r="I32" l="1"/>
  <c r="N33" s="1"/>
  <c r="P33" s="1"/>
  <c r="L33" s="1"/>
  <c r="I33" l="1"/>
  <c r="N34" s="1"/>
  <c r="AA34" l="1"/>
  <c r="P34"/>
  <c r="L34" s="1"/>
  <c r="I34" l="1"/>
  <c r="N35" s="1"/>
  <c r="P35" s="1"/>
  <c r="L35" s="1"/>
  <c r="I35" l="1"/>
  <c r="N36" s="1"/>
  <c r="AA36" l="1"/>
  <c r="P36"/>
  <c r="L36" s="1"/>
  <c r="I36" l="1"/>
  <c r="N37" s="1"/>
  <c r="P37" s="1"/>
  <c r="L37" s="1"/>
  <c r="I37" l="1"/>
  <c r="P38" l="1"/>
  <c r="L38" s="1"/>
  <c r="N39"/>
  <c r="P39" l="1"/>
  <c r="P41" s="1"/>
  <c r="I38"/>
  <c r="AA18" i="1" l="1"/>
  <c r="M22" l="1"/>
  <c r="U22" l="1"/>
  <c r="O22"/>
  <c r="Z22"/>
  <c r="Q22"/>
  <c r="K22" l="1"/>
  <c r="T22"/>
  <c r="H22" l="1"/>
  <c r="M23" s="1"/>
  <c r="O23" l="1"/>
  <c r="X23" l="1"/>
  <c r="K23"/>
  <c r="H23" l="1"/>
  <c r="M24" l="1"/>
  <c r="B22" i="13"/>
  <c r="B23" s="1"/>
  <c r="O24" s="1"/>
  <c r="M24" l="1"/>
  <c r="M40" s="1"/>
  <c r="O40"/>
  <c r="Q24" i="1"/>
  <c r="O24"/>
  <c r="Z24"/>
  <c r="U24"/>
  <c r="T24" l="1"/>
  <c r="K24"/>
  <c r="H24" l="1"/>
  <c r="M25" s="1"/>
  <c r="O25" l="1"/>
  <c r="X25" l="1"/>
  <c r="K25"/>
  <c r="H25" l="1"/>
  <c r="M26" s="1"/>
  <c r="Z26" l="1"/>
  <c r="Q26"/>
  <c r="O26"/>
  <c r="U26"/>
  <c r="T26" l="1"/>
  <c r="K26"/>
  <c r="H26" l="1"/>
  <c r="M27" s="1"/>
  <c r="O27" l="1"/>
  <c r="X27" l="1"/>
  <c r="K27"/>
  <c r="H27" l="1"/>
  <c r="M28" s="1"/>
  <c r="Q28" l="1"/>
  <c r="O28"/>
  <c r="Z28"/>
  <c r="U28"/>
  <c r="T28" l="1"/>
  <c r="K28"/>
  <c r="H28" l="1"/>
  <c r="M29" s="1"/>
  <c r="O29" l="1"/>
  <c r="X29" l="1"/>
  <c r="K29"/>
  <c r="H29" l="1"/>
  <c r="M30" s="1"/>
  <c r="Q30" l="1"/>
  <c r="O30"/>
  <c r="Z30"/>
  <c r="U30"/>
  <c r="T30" l="1"/>
  <c r="K30"/>
  <c r="H30" l="1"/>
  <c r="M31" s="1"/>
  <c r="O31" l="1"/>
  <c r="X31" l="1"/>
  <c r="K31"/>
  <c r="H31" l="1"/>
  <c r="M32" s="1"/>
  <c r="O32" l="1"/>
  <c r="K32" s="1"/>
  <c r="Z32"/>
  <c r="H32" l="1"/>
  <c r="M33" s="1"/>
  <c r="O33" s="1"/>
  <c r="K33" s="1"/>
  <c r="H33" l="1"/>
  <c r="M34" s="1"/>
  <c r="O34" l="1"/>
  <c r="K34" s="1"/>
  <c r="Z34"/>
  <c r="H34" l="1"/>
  <c r="M35" s="1"/>
  <c r="O35" s="1"/>
  <c r="K35" s="1"/>
  <c r="H35" l="1"/>
  <c r="M36" s="1"/>
  <c r="O36" l="1"/>
  <c r="K36" s="1"/>
  <c r="Z36"/>
  <c r="H36" l="1"/>
  <c r="M37" s="1"/>
  <c r="O37" s="1"/>
  <c r="K37" s="1"/>
  <c r="H37" l="1"/>
  <c r="M38" s="1"/>
  <c r="O38" l="1"/>
  <c r="K38" s="1"/>
  <c r="Z38"/>
  <c r="H38" l="1"/>
  <c r="M39" s="1"/>
  <c r="O39" s="1"/>
  <c r="K39" s="1"/>
  <c r="H39" l="1"/>
  <c r="M40" s="1"/>
  <c r="Z40" l="1"/>
  <c r="O40"/>
  <c r="K40" s="1"/>
  <c r="H40" l="1"/>
  <c r="M41" s="1"/>
  <c r="O41" s="1"/>
  <c r="K41" s="1"/>
  <c r="H41" l="1"/>
  <c r="M42" s="1"/>
  <c r="Z42" l="1"/>
  <c r="O42"/>
  <c r="K42" s="1"/>
  <c r="H42" l="1"/>
  <c r="M43" s="1"/>
  <c r="O43" s="1"/>
  <c r="K43" s="1"/>
  <c r="H43" l="1"/>
  <c r="M44" s="1"/>
  <c r="O44" l="1"/>
  <c r="K44" s="1"/>
  <c r="Z44"/>
  <c r="H44" l="1"/>
  <c r="M45" s="1"/>
  <c r="O45" s="1"/>
  <c r="K45" s="1"/>
  <c r="H45" l="1"/>
  <c r="M46" s="1"/>
  <c r="O46" l="1"/>
  <c r="K46" s="1"/>
  <c r="Z46"/>
  <c r="H46" l="1"/>
  <c r="M47" s="1"/>
  <c r="O47" s="1"/>
  <c r="K47" s="1"/>
  <c r="H47" l="1"/>
  <c r="M48" s="1"/>
  <c r="Z48" l="1"/>
  <c r="O48"/>
  <c r="K48" s="1"/>
  <c r="H48" l="1"/>
  <c r="M49" s="1"/>
  <c r="O49" s="1"/>
  <c r="K49" s="1"/>
  <c r="H49" l="1"/>
  <c r="M50" s="1"/>
  <c r="Z50" l="1"/>
  <c r="O50"/>
  <c r="K50" s="1"/>
  <c r="H50" l="1"/>
  <c r="M51" s="1"/>
  <c r="O51" s="1"/>
  <c r="K51" s="1"/>
  <c r="H51" l="1"/>
  <c r="M52" s="1"/>
  <c r="O52" l="1"/>
  <c r="K52" s="1"/>
  <c r="Z52"/>
  <c r="H52" l="1"/>
  <c r="M53" s="1"/>
  <c r="O53" s="1"/>
  <c r="K53" s="1"/>
  <c r="H53" l="1"/>
  <c r="M54" s="1"/>
  <c r="O54" l="1"/>
  <c r="K54" s="1"/>
  <c r="Z54"/>
  <c r="H54" l="1"/>
  <c r="M55" s="1"/>
  <c r="O55" s="1"/>
  <c r="K55" s="1"/>
  <c r="H55" l="1"/>
  <c r="M56" s="1"/>
  <c r="O56" l="1"/>
  <c r="K56" s="1"/>
  <c r="Z56"/>
  <c r="H56" l="1"/>
  <c r="M57" s="1"/>
  <c r="O57" s="1"/>
  <c r="K57" s="1"/>
  <c r="H57" l="1"/>
  <c r="M58" s="1"/>
  <c r="Z58" l="1"/>
  <c r="O58"/>
  <c r="K58" s="1"/>
  <c r="H58" l="1"/>
  <c r="M59" s="1"/>
  <c r="O59" s="1"/>
  <c r="K59" s="1"/>
  <c r="H59" l="1"/>
  <c r="M60" s="1"/>
  <c r="O60" l="1"/>
  <c r="K60" s="1"/>
  <c r="Z60"/>
  <c r="H60" l="1"/>
  <c r="M61" s="1"/>
  <c r="O61" s="1"/>
  <c r="K61" s="1"/>
  <c r="H61" l="1"/>
  <c r="M62" s="1"/>
  <c r="O62" l="1"/>
  <c r="K62" s="1"/>
  <c r="Z62"/>
  <c r="H62" l="1"/>
  <c r="M63" s="1"/>
  <c r="O63" s="1"/>
  <c r="K63" s="1"/>
  <c r="H63" l="1"/>
  <c r="M64" s="1"/>
  <c r="Z64" l="1"/>
  <c r="O64"/>
  <c r="K64" s="1"/>
  <c r="H64" l="1"/>
  <c r="M65" s="1"/>
  <c r="O65" s="1"/>
  <c r="K65" s="1"/>
  <c r="H65" l="1"/>
  <c r="M66" s="1"/>
  <c r="O66" l="1"/>
  <c r="K66" s="1"/>
  <c r="Z66"/>
  <c r="H66" l="1"/>
  <c r="M67" s="1"/>
  <c r="O67" s="1"/>
  <c r="K67" s="1"/>
  <c r="H67" l="1"/>
  <c r="M68" s="1"/>
  <c r="O68" l="1"/>
  <c r="K68" s="1"/>
  <c r="Z68"/>
  <c r="H68" l="1"/>
  <c r="M69" s="1"/>
  <c r="O69" s="1"/>
  <c r="K69" s="1"/>
  <c r="H69" l="1"/>
  <c r="M70" s="1"/>
  <c r="O70" l="1"/>
  <c r="K70" s="1"/>
  <c r="Z70"/>
  <c r="H70" l="1"/>
  <c r="M71" s="1"/>
  <c r="O71" s="1"/>
  <c r="K71" s="1"/>
  <c r="H71" l="1"/>
  <c r="M72" s="1"/>
  <c r="O72" l="1"/>
  <c r="K72" s="1"/>
  <c r="Z72"/>
  <c r="H72" l="1"/>
  <c r="M73" s="1"/>
  <c r="O73" s="1"/>
  <c r="K73" s="1"/>
  <c r="H73" l="1"/>
  <c r="M74" s="1"/>
  <c r="O74" l="1"/>
  <c r="K74" s="1"/>
  <c r="Z74"/>
  <c r="H74" l="1"/>
  <c r="M75" s="1"/>
  <c r="O75" s="1"/>
  <c r="K75" s="1"/>
  <c r="H75" l="1"/>
  <c r="M76" s="1"/>
  <c r="Z76" l="1"/>
  <c r="O76"/>
  <c r="K76" s="1"/>
  <c r="H76" l="1"/>
  <c r="M77" s="1"/>
  <c r="O77" s="1"/>
  <c r="K77" s="1"/>
  <c r="H77" l="1"/>
  <c r="M78" s="1"/>
  <c r="Z78" l="1"/>
  <c r="O78"/>
  <c r="K78" s="1"/>
  <c r="H78" l="1"/>
  <c r="M79" s="1"/>
  <c r="O79" s="1"/>
  <c r="K79" s="1"/>
  <c r="H79" l="1"/>
  <c r="M80" s="1"/>
  <c r="O80" l="1"/>
  <c r="K80" s="1"/>
  <c r="Z80"/>
  <c r="H80" l="1"/>
  <c r="M81" s="1"/>
  <c r="O81" s="1"/>
  <c r="K81" s="1"/>
  <c r="H81" l="1"/>
  <c r="M82" s="1"/>
  <c r="O82" l="1"/>
  <c r="K82" s="1"/>
  <c r="Z82"/>
  <c r="H82" l="1"/>
  <c r="M83" s="1"/>
  <c r="O83" s="1"/>
  <c r="K83" s="1"/>
  <c r="H83" l="1"/>
  <c r="M84" s="1"/>
  <c r="O84" l="1"/>
  <c r="K84" s="1"/>
  <c r="Z84"/>
  <c r="H84" l="1"/>
  <c r="M85" s="1"/>
  <c r="O85" s="1"/>
  <c r="K85" s="1"/>
  <c r="H85" l="1"/>
  <c r="M86" s="1"/>
  <c r="O86" l="1"/>
  <c r="K86" s="1"/>
  <c r="Z86"/>
  <c r="H86" l="1"/>
  <c r="M87" s="1"/>
  <c r="O87" s="1"/>
  <c r="K87" s="1"/>
  <c r="H87" l="1"/>
  <c r="M88" s="1"/>
  <c r="O88" l="1"/>
  <c r="K88" s="1"/>
  <c r="Z88"/>
  <c r="H88" l="1"/>
  <c r="M89" s="1"/>
  <c r="O89" s="1"/>
  <c r="K89" s="1"/>
  <c r="H89" l="1"/>
  <c r="M90" s="1"/>
  <c r="O90" l="1"/>
  <c r="K90" s="1"/>
  <c r="Z90"/>
  <c r="H90" l="1"/>
  <c r="M91" s="1"/>
  <c r="O91" s="1"/>
  <c r="K91" s="1"/>
  <c r="H91" l="1"/>
  <c r="M92" s="1"/>
  <c r="O92" l="1"/>
  <c r="K92" s="1"/>
  <c r="Z92"/>
  <c r="H92" l="1"/>
  <c r="M93" s="1"/>
  <c r="O93" s="1"/>
  <c r="K93" s="1"/>
  <c r="H93" l="1"/>
  <c r="M94" s="1"/>
  <c r="O94" l="1"/>
  <c r="K94" s="1"/>
  <c r="Z94"/>
  <c r="H94" l="1"/>
  <c r="M95" s="1"/>
  <c r="O95" s="1"/>
  <c r="K95" s="1"/>
  <c r="H95" l="1"/>
  <c r="M96" s="1"/>
  <c r="O96" l="1"/>
  <c r="K96" s="1"/>
  <c r="Z96"/>
  <c r="H96" l="1"/>
  <c r="M97" s="1"/>
  <c r="O97" s="1"/>
  <c r="K97" s="1"/>
  <c r="H97" l="1"/>
  <c r="M98" s="1"/>
  <c r="O98" l="1"/>
  <c r="K98" s="1"/>
  <c r="Z98"/>
  <c r="H98" l="1"/>
  <c r="M99" s="1"/>
  <c r="O99" s="1"/>
  <c r="K99" s="1"/>
  <c r="H99" l="1"/>
  <c r="M100" s="1"/>
  <c r="Z100" l="1"/>
  <c r="O100"/>
  <c r="K100" s="1"/>
  <c r="H100" l="1"/>
  <c r="M101" s="1"/>
  <c r="O101" s="1"/>
  <c r="K101" s="1"/>
  <c r="H101" l="1"/>
  <c r="M102" s="1"/>
  <c r="Z102" l="1"/>
  <c r="O102"/>
  <c r="K102" s="1"/>
  <c r="H102" l="1"/>
  <c r="M103" s="1"/>
  <c r="O103" s="1"/>
  <c r="K103" s="1"/>
  <c r="H103" l="1"/>
  <c r="M104" s="1"/>
  <c r="O104" l="1"/>
  <c r="K104" s="1"/>
  <c r="Z104"/>
  <c r="H104" l="1"/>
  <c r="M105" s="1"/>
  <c r="O105" s="1"/>
  <c r="K105" s="1"/>
  <c r="H105" l="1"/>
  <c r="M106" s="1"/>
  <c r="O106" l="1"/>
  <c r="K106" s="1"/>
  <c r="Z106"/>
  <c r="H106" l="1"/>
  <c r="M107" s="1"/>
  <c r="O107" s="1"/>
  <c r="K107" s="1"/>
  <c r="H107" l="1"/>
  <c r="M108" s="1"/>
  <c r="Z108" l="1"/>
  <c r="O108"/>
  <c r="K108" s="1"/>
  <c r="H108" l="1"/>
  <c r="M109" s="1"/>
  <c r="O109" s="1"/>
  <c r="K109" s="1"/>
  <c r="H109" l="1"/>
  <c r="M110" s="1"/>
  <c r="Z110" l="1"/>
  <c r="O110"/>
  <c r="K110" s="1"/>
  <c r="H110" l="1"/>
  <c r="M111" s="1"/>
  <c r="O111" s="1"/>
  <c r="K111" s="1"/>
  <c r="H111" l="1"/>
  <c r="M112" s="1"/>
  <c r="Z112" l="1"/>
  <c r="O112"/>
  <c r="K112" s="1"/>
  <c r="H112" l="1"/>
  <c r="M113" s="1"/>
  <c r="O113" s="1"/>
  <c r="K113" s="1"/>
  <c r="H113" l="1"/>
  <c r="M114" s="1"/>
  <c r="O114" l="1"/>
  <c r="K114" s="1"/>
  <c r="Z114"/>
  <c r="H114" l="1"/>
  <c r="M115" s="1"/>
  <c r="O115" s="1"/>
  <c r="K115" s="1"/>
  <c r="H115" l="1"/>
  <c r="M116" s="1"/>
  <c r="O116" l="1"/>
  <c r="K116" s="1"/>
  <c r="Z116"/>
  <c r="H116" l="1"/>
  <c r="M117" s="1"/>
  <c r="O117" s="1"/>
  <c r="K117" s="1"/>
  <c r="H117" l="1"/>
  <c r="M118" s="1"/>
  <c r="O118" l="1"/>
  <c r="K118" s="1"/>
  <c r="Z118"/>
  <c r="H118" l="1"/>
  <c r="M119" s="1"/>
  <c r="O119" s="1"/>
  <c r="K119" s="1"/>
  <c r="H119" l="1"/>
  <c r="M120" s="1"/>
  <c r="O120" l="1"/>
  <c r="K120" s="1"/>
  <c r="Z120"/>
  <c r="H120" l="1"/>
  <c r="M121" s="1"/>
  <c r="O121" s="1"/>
  <c r="K121" s="1"/>
  <c r="H121" l="1"/>
  <c r="M122" s="1"/>
  <c r="Z122" l="1"/>
  <c r="O122"/>
  <c r="K122" s="1"/>
  <c r="H122" l="1"/>
  <c r="M123" s="1"/>
  <c r="O123" s="1"/>
  <c r="K123" s="1"/>
  <c r="H123" l="1"/>
  <c r="M124" s="1"/>
  <c r="O124" l="1"/>
  <c r="K124" s="1"/>
  <c r="Z124"/>
  <c r="H124" l="1"/>
  <c r="M125" s="1"/>
  <c r="O125" s="1"/>
  <c r="K125" s="1"/>
  <c r="H125" l="1"/>
  <c r="M126" s="1"/>
  <c r="O126" l="1"/>
  <c r="K126" s="1"/>
  <c r="Z126"/>
  <c r="H126" l="1"/>
  <c r="M127" s="1"/>
  <c r="O127" s="1"/>
  <c r="K127" s="1"/>
  <c r="H127" l="1"/>
  <c r="M128" s="1"/>
  <c r="Z128" l="1"/>
  <c r="O128"/>
  <c r="K128" s="1"/>
  <c r="H128" l="1"/>
  <c r="M129" s="1"/>
  <c r="O129" s="1"/>
  <c r="K129" s="1"/>
  <c r="H129" l="1"/>
  <c r="M130" s="1"/>
  <c r="Z130" l="1"/>
  <c r="O130"/>
  <c r="K130" s="1"/>
  <c r="H130" l="1"/>
  <c r="M131" s="1"/>
  <c r="O131" s="1"/>
  <c r="K131" s="1"/>
  <c r="H131" l="1"/>
  <c r="M132" s="1"/>
  <c r="Z132" l="1"/>
  <c r="O132"/>
  <c r="K132" s="1"/>
  <c r="H132" l="1"/>
  <c r="M133" s="1"/>
  <c r="O133" s="1"/>
  <c r="K133" s="1"/>
  <c r="H133" l="1"/>
  <c r="M134" s="1"/>
  <c r="Z134" l="1"/>
  <c r="O134"/>
  <c r="K134" s="1"/>
  <c r="H134" l="1"/>
  <c r="M135" s="1"/>
  <c r="O135" s="1"/>
  <c r="K135" s="1"/>
  <c r="H135" l="1"/>
  <c r="M136" s="1"/>
  <c r="O136" l="1"/>
  <c r="K136" s="1"/>
  <c r="Z136"/>
  <c r="H136" l="1"/>
  <c r="M137" s="1"/>
  <c r="O137" s="1"/>
  <c r="K137" s="1"/>
  <c r="H137" l="1"/>
  <c r="M138" s="1"/>
  <c r="Z138" l="1"/>
  <c r="O138"/>
  <c r="K138" s="1"/>
  <c r="H138" l="1"/>
  <c r="M139" s="1"/>
  <c r="O139" s="1"/>
  <c r="K139" s="1"/>
  <c r="H139" l="1"/>
  <c r="M140" s="1"/>
  <c r="Z140" l="1"/>
  <c r="O140"/>
  <c r="K140" s="1"/>
  <c r="H140" l="1"/>
  <c r="M141" s="1"/>
  <c r="O141" s="1"/>
  <c r="K141" s="1"/>
  <c r="H141" l="1"/>
  <c r="M142" s="1"/>
  <c r="Z142" l="1"/>
  <c r="O142"/>
  <c r="K142" s="1"/>
  <c r="H142" l="1"/>
  <c r="M143" s="1"/>
  <c r="O143" s="1"/>
  <c r="K143" s="1"/>
  <c r="H143" l="1"/>
  <c r="M144" s="1"/>
  <c r="O144" l="1"/>
  <c r="K144" s="1"/>
  <c r="Z144"/>
  <c r="H144" l="1"/>
  <c r="M145" s="1"/>
  <c r="O145" s="1"/>
  <c r="K145" s="1"/>
  <c r="H145" l="1"/>
  <c r="M146" s="1"/>
  <c r="O146" l="1"/>
  <c r="K146" s="1"/>
  <c r="Z146"/>
  <c r="H146" l="1"/>
  <c r="M147" s="1"/>
  <c r="O147" s="1"/>
  <c r="K147" s="1"/>
  <c r="H147" l="1"/>
  <c r="M148" s="1"/>
  <c r="O148" l="1"/>
  <c r="K148" s="1"/>
  <c r="Z148"/>
  <c r="H148" l="1"/>
  <c r="M149" s="1"/>
  <c r="O149" s="1"/>
  <c r="K149" s="1"/>
  <c r="H149" l="1"/>
  <c r="M150" s="1"/>
  <c r="O150" l="1"/>
  <c r="K150" s="1"/>
  <c r="Z150"/>
  <c r="H150" l="1"/>
  <c r="M151" s="1"/>
  <c r="O151" s="1"/>
  <c r="K151" s="1"/>
  <c r="H151" l="1"/>
  <c r="M152" s="1"/>
  <c r="Z152" l="1"/>
  <c r="O152"/>
  <c r="K152" s="1"/>
  <c r="H152" l="1"/>
  <c r="M153" s="1"/>
  <c r="O153" s="1"/>
  <c r="K153" s="1"/>
  <c r="H153" l="1"/>
  <c r="M154" s="1"/>
  <c r="O154" l="1"/>
  <c r="K154" s="1"/>
  <c r="Z154"/>
  <c r="H154" l="1"/>
  <c r="M155" s="1"/>
  <c r="O155" s="1"/>
  <c r="K155" s="1"/>
  <c r="H155" l="1"/>
  <c r="M156" s="1"/>
  <c r="Z156" l="1"/>
  <c r="O156"/>
  <c r="K156" s="1"/>
  <c r="H156" l="1"/>
  <c r="M157" s="1"/>
  <c r="O157" s="1"/>
  <c r="K157" s="1"/>
  <c r="H157" l="1"/>
  <c r="M158" s="1"/>
  <c r="O158" l="1"/>
  <c r="K158" s="1"/>
  <c r="Z158"/>
  <c r="H158" l="1"/>
  <c r="M159" s="1"/>
  <c r="O159" s="1"/>
  <c r="K159" s="1"/>
  <c r="H159" l="1"/>
  <c r="M160" s="1"/>
  <c r="O160" l="1"/>
  <c r="K160" s="1"/>
  <c r="Z160"/>
  <c r="H160" l="1"/>
  <c r="M161" s="1"/>
  <c r="O161" s="1"/>
  <c r="K161" s="1"/>
  <c r="H161" l="1"/>
  <c r="M162" s="1"/>
  <c r="Q162" l="1"/>
  <c r="Z162"/>
  <c r="O162"/>
  <c r="U162"/>
  <c r="T162" l="1"/>
  <c r="K162"/>
  <c r="H162" l="1"/>
  <c r="M163" s="1"/>
  <c r="O163" l="1"/>
  <c r="X163" l="1"/>
  <c r="K163"/>
  <c r="H163" l="1"/>
  <c r="M164" s="1"/>
  <c r="O164" l="1"/>
  <c r="Q164"/>
  <c r="Z164"/>
  <c r="U164"/>
  <c r="T164" l="1"/>
  <c r="K164"/>
  <c r="H164" l="1"/>
  <c r="M165" s="1"/>
  <c r="O165" l="1"/>
  <c r="X165" l="1"/>
  <c r="K165"/>
  <c r="H165" l="1"/>
  <c r="M166" s="1"/>
  <c r="Z166" l="1"/>
  <c r="O166"/>
  <c r="Q166"/>
  <c r="U166"/>
  <c r="T166" l="1"/>
  <c r="K166"/>
  <c r="H166" l="1"/>
  <c r="M167" s="1"/>
  <c r="O167" l="1"/>
  <c r="M168"/>
  <c r="O168" l="1"/>
  <c r="X167"/>
  <c r="K167"/>
  <c r="K170" l="1"/>
  <c r="H167"/>
  <c r="H170" s="1"/>
  <c r="M170"/>
</calcChain>
</file>

<file path=xl/sharedStrings.xml><?xml version="1.0" encoding="utf-8"?>
<sst xmlns="http://schemas.openxmlformats.org/spreadsheetml/2006/main" count="895" uniqueCount="59">
  <si>
    <t>Ставки</t>
  </si>
  <si>
    <t>Номинальная</t>
  </si>
  <si>
    <t>Эффективная</t>
  </si>
  <si>
    <t>Дата</t>
  </si>
  <si>
    <t>Денежные потоки</t>
  </si>
  <si>
    <t>Сума очікува-ного від-шкоду-вання</t>
  </si>
  <si>
    <t>Балансовая стоимость</t>
  </si>
  <si>
    <t>Доходы</t>
  </si>
  <si>
    <t>Expences</t>
  </si>
  <si>
    <t>Дохід-ність</t>
  </si>
  <si>
    <t>Амортизація дисконту на звітну дату</t>
  </si>
  <si>
    <t>Тело</t>
  </si>
  <si>
    <t>Проценты</t>
  </si>
  <si>
    <t>Комиссии</t>
  </si>
  <si>
    <t>Всего</t>
  </si>
  <si>
    <t>Начисленные проценты</t>
  </si>
  <si>
    <t>Неамортизированный дисконт</t>
  </si>
  <si>
    <t>Provision</t>
  </si>
  <si>
    <t>по номинальной ставке</t>
  </si>
  <si>
    <t>амортизация дисконта</t>
  </si>
  <si>
    <t>for provision</t>
  </si>
  <si>
    <t>По эффективной ставке</t>
  </si>
  <si>
    <t>P&amp;L nom rate</t>
  </si>
  <si>
    <t>% BS</t>
  </si>
  <si>
    <t>х</t>
  </si>
  <si>
    <t>cума</t>
  </si>
  <si>
    <t>Проведення</t>
  </si>
  <si>
    <t>Дт процентні доходи - Кт неамортизований дисконт</t>
  </si>
  <si>
    <t>Дт неамортизований дисконт - Кт процентні доходи</t>
  </si>
  <si>
    <t>Итого</t>
  </si>
  <si>
    <t>x</t>
  </si>
  <si>
    <t>РАСЧЕТ АМОРТИЗАЦИИ ДИСКОНТА</t>
  </si>
  <si>
    <t>ПОЛНЫЙ РАСЧЕТ БАЛАНСОВОЙ СТОИМОСТИ КРЕДИТА</t>
  </si>
  <si>
    <t>Тело срочное</t>
  </si>
  <si>
    <t>Тело просроченное</t>
  </si>
  <si>
    <t>Начисленные проценты на просроченную задолженность</t>
  </si>
  <si>
    <t>Резервы</t>
  </si>
  <si>
    <t>по номинальной ставке - проценты на срочную задолженность</t>
  </si>
  <si>
    <t>по номинальной ставке - проценты на просроченную задолженность</t>
  </si>
  <si>
    <t>Срочные проценты на срочную задолженность</t>
  </si>
  <si>
    <t>Просроченные проценты на срочную задолженность</t>
  </si>
  <si>
    <t>Расходы</t>
  </si>
  <si>
    <t>Чистая балансовая стоимость</t>
  </si>
  <si>
    <t>Корректировка
 процентного дохода</t>
  </si>
  <si>
    <t>Скорректированные процентные доходы</t>
  </si>
  <si>
    <t>Приведенная стоимость ДП</t>
  </si>
  <si>
    <t>Справедливая стоимость</t>
  </si>
  <si>
    <t>Привед стоим</t>
  </si>
  <si>
    <t>Новый дисконт</t>
  </si>
  <si>
    <t>Дисконт</t>
  </si>
  <si>
    <t>Эффект от модификации</t>
  </si>
  <si>
    <t>Эффективная г</t>
  </si>
  <si>
    <t>Эффективная д</t>
  </si>
  <si>
    <t>Балансовая стоимость (BS)</t>
  </si>
  <si>
    <t>Расходы (P&amp;L)</t>
  </si>
  <si>
    <t>Процентные
 расходы за месяц</t>
  </si>
  <si>
    <t>Контроль:</t>
  </si>
  <si>
    <t>допамортизация</t>
  </si>
  <si>
    <t>эффект модификации</t>
  </si>
</sst>
</file>

<file path=xl/styles.xml><?xml version="1.0" encoding="utf-8"?>
<styleSheet xmlns="http://schemas.openxmlformats.org/spreadsheetml/2006/main">
  <numFmts count="6">
    <numFmt numFmtId="164" formatCode="#,##0.00000"/>
    <numFmt numFmtId="165" formatCode="0.0000%"/>
    <numFmt numFmtId="166" formatCode="&quot;$&quot;#,##0.00"/>
    <numFmt numFmtId="167" formatCode="dd\.mm\.yyyy;@"/>
    <numFmt numFmtId="168" formatCode="#,##0.00_ ;[Red]\-#,##0.00\ "/>
    <numFmt numFmtId="169" formatCode="0.00000%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 Cyr"/>
      <family val="2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sz val="10"/>
      <color indexed="8"/>
      <name val="Times New Roman"/>
      <family val="1"/>
      <charset val="238"/>
    </font>
    <font>
      <sz val="10"/>
      <name val="Arial Cyr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color indexed="10"/>
      <name val="Arial Cyr"/>
      <charset val="204"/>
    </font>
    <font>
      <b/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b/>
      <sz val="8"/>
      <color rgb="FFFF0000"/>
      <name val="Arial"/>
      <family val="2"/>
    </font>
    <font>
      <sz val="10"/>
      <color indexed="9"/>
      <name val="Arial Cyr"/>
    </font>
    <font>
      <i/>
      <sz val="10"/>
      <name val="Arial Cyr"/>
      <family val="2"/>
      <charset val="204"/>
    </font>
    <font>
      <b/>
      <i/>
      <sz val="10"/>
      <color rgb="FFFF0000"/>
      <name val="Arial Cyr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00FFFF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33"/>
      </left>
      <right style="medium">
        <color indexed="33"/>
      </right>
      <top style="medium">
        <color indexed="33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slantDashDot">
        <color indexed="10"/>
      </left>
      <right style="slantDashDot">
        <color indexed="10"/>
      </right>
      <top style="slantDashDot">
        <color indexed="10"/>
      </top>
      <bottom style="slantDashDot">
        <color indexed="10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0" fillId="0" borderId="0"/>
  </cellStyleXfs>
  <cellXfs count="292">
    <xf numFmtId="0" fontId="0" fillId="0" borderId="0" xfId="0"/>
    <xf numFmtId="0" fontId="5" fillId="0" borderId="0" xfId="0" applyFont="1" applyAlignment="1"/>
    <xf numFmtId="164" fontId="0" fillId="0" borderId="0" xfId="0" applyNumberFormat="1"/>
    <xf numFmtId="0" fontId="6" fillId="0" borderId="0" xfId="0" applyFont="1"/>
    <xf numFmtId="165" fontId="0" fillId="0" borderId="1" xfId="0" applyNumberFormat="1" applyBorder="1"/>
    <xf numFmtId="164" fontId="7" fillId="0" borderId="0" xfId="0" applyNumberFormat="1" applyFont="1"/>
    <xf numFmtId="10" fontId="0" fillId="0" borderId="0" xfId="0" applyNumberFormat="1"/>
    <xf numFmtId="4" fontId="0" fillId="0" borderId="0" xfId="0" applyNumberFormat="1"/>
    <xf numFmtId="0" fontId="0" fillId="4" borderId="6" xfId="0" applyFill="1" applyBorder="1" applyAlignment="1">
      <alignment horizontal="center" vertical="center" wrapText="1"/>
    </xf>
    <xf numFmtId="4" fontId="0" fillId="0" borderId="0" xfId="0" applyNumberFormat="1" applyBorder="1" applyAlignment="1">
      <alignment horizontal="center"/>
    </xf>
    <xf numFmtId="0" fontId="0" fillId="4" borderId="13" xfId="0" applyFill="1" applyBorder="1" applyAlignment="1">
      <alignment horizontal="center" vertical="center" wrapText="1"/>
    </xf>
    <xf numFmtId="164" fontId="8" fillId="8" borderId="0" xfId="0" applyNumberFormat="1" applyFont="1" applyFill="1" applyBorder="1"/>
    <xf numFmtId="0" fontId="0" fillId="3" borderId="11" xfId="0" applyFill="1" applyBorder="1" applyAlignment="1">
      <alignment vertical="center"/>
    </xf>
    <xf numFmtId="4" fontId="0" fillId="6" borderId="11" xfId="0" applyNumberFormat="1" applyFill="1" applyBorder="1" applyAlignment="1">
      <alignment vertical="center"/>
    </xf>
    <xf numFmtId="164" fontId="8" fillId="0" borderId="0" xfId="0" applyNumberFormat="1" applyFont="1" applyBorder="1"/>
    <xf numFmtId="0" fontId="0" fillId="3" borderId="18" xfId="0" applyFill="1" applyBorder="1" applyAlignment="1">
      <alignment horizontal="center" vertical="center" wrapText="1"/>
    </xf>
    <xf numFmtId="0" fontId="0" fillId="6" borderId="25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67" fontId="0" fillId="0" borderId="28" xfId="0" applyNumberFormat="1" applyBorder="1"/>
    <xf numFmtId="4" fontId="0" fillId="3" borderId="29" xfId="0" applyNumberFormat="1" applyFill="1" applyBorder="1"/>
    <xf numFmtId="4" fontId="0" fillId="0" borderId="30" xfId="0" applyNumberFormat="1" applyBorder="1"/>
    <xf numFmtId="4" fontId="0" fillId="0" borderId="31" xfId="0" applyNumberFormat="1" applyBorder="1"/>
    <xf numFmtId="4" fontId="0" fillId="4" borderId="32" xfId="0" applyNumberFormat="1" applyFill="1" applyBorder="1" applyAlignment="1">
      <alignment horizontal="right"/>
    </xf>
    <xf numFmtId="4" fontId="0" fillId="4" borderId="33" xfId="0" applyNumberFormat="1" applyFill="1" applyBorder="1" applyAlignment="1">
      <alignment horizontal="right"/>
    </xf>
    <xf numFmtId="4" fontId="0" fillId="5" borderId="34" xfId="0" applyNumberFormat="1" applyFill="1" applyBorder="1"/>
    <xf numFmtId="4" fontId="0" fillId="0" borderId="35" xfId="0" applyNumberFormat="1" applyBorder="1"/>
    <xf numFmtId="4" fontId="0" fillId="0" borderId="36" xfId="0" applyNumberFormat="1" applyBorder="1"/>
    <xf numFmtId="4" fontId="0" fillId="0" borderId="30" xfId="0" applyNumberFormat="1" applyBorder="1" applyAlignment="1">
      <alignment horizontal="center"/>
    </xf>
    <xf numFmtId="4" fontId="0" fillId="6" borderId="37" xfId="0" applyNumberFormat="1" applyFill="1" applyBorder="1"/>
    <xf numFmtId="4" fontId="0" fillId="0" borderId="38" xfId="0" applyNumberFormat="1" applyBorder="1"/>
    <xf numFmtId="4" fontId="0" fillId="0" borderId="39" xfId="0" applyNumberFormat="1" applyBorder="1"/>
    <xf numFmtId="4" fontId="0" fillId="0" borderId="32" xfId="0" applyNumberFormat="1" applyBorder="1" applyAlignment="1">
      <alignment horizontal="center"/>
    </xf>
    <xf numFmtId="4" fontId="0" fillId="7" borderId="40" xfId="0" applyNumberFormat="1" applyFill="1" applyBorder="1" applyAlignment="1">
      <alignment horizontal="center"/>
    </xf>
    <xf numFmtId="4" fontId="0" fillId="0" borderId="0" xfId="0" applyNumberFormat="1" applyBorder="1"/>
    <xf numFmtId="168" fontId="0" fillId="0" borderId="0" xfId="0" applyNumberFormat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4" fontId="0" fillId="3" borderId="37" xfId="0" applyNumberFormat="1" applyFill="1" applyBorder="1"/>
    <xf numFmtId="4" fontId="0" fillId="0" borderId="41" xfId="0" applyNumberFormat="1" applyBorder="1" applyAlignment="1">
      <alignment horizontal="center"/>
    </xf>
    <xf numFmtId="4" fontId="0" fillId="4" borderId="42" xfId="0" applyNumberFormat="1" applyFill="1" applyBorder="1" applyAlignment="1">
      <alignment horizontal="right"/>
    </xf>
    <xf numFmtId="4" fontId="0" fillId="4" borderId="9" xfId="0" applyNumberFormat="1" applyFill="1" applyBorder="1" applyAlignment="1">
      <alignment horizontal="right"/>
    </xf>
    <xf numFmtId="4" fontId="0" fillId="0" borderId="43" xfId="0" applyNumberFormat="1" applyBorder="1"/>
    <xf numFmtId="4" fontId="0" fillId="0" borderId="44" xfId="0" applyNumberFormat="1" applyBorder="1"/>
    <xf numFmtId="4" fontId="0" fillId="0" borderId="15" xfId="0" applyNumberFormat="1" applyBorder="1"/>
    <xf numFmtId="165" fontId="9" fillId="7" borderId="45" xfId="1" applyNumberFormat="1" applyFont="1" applyFill="1" applyBorder="1"/>
    <xf numFmtId="2" fontId="0" fillId="0" borderId="0" xfId="0" applyNumberFormat="1"/>
    <xf numFmtId="4" fontId="0" fillId="0" borderId="0" xfId="0" applyNumberFormat="1" applyAlignment="1">
      <alignment horizontal="center"/>
    </xf>
    <xf numFmtId="4" fontId="0" fillId="4" borderId="13" xfId="0" applyNumberFormat="1" applyFill="1" applyBorder="1" applyAlignment="1">
      <alignment horizontal="right"/>
    </xf>
    <xf numFmtId="0" fontId="0" fillId="0" borderId="46" xfId="0" applyBorder="1"/>
    <xf numFmtId="4" fontId="0" fillId="0" borderId="47" xfId="0" applyNumberFormat="1" applyBorder="1"/>
    <xf numFmtId="4" fontId="0" fillId="0" borderId="48" xfId="0" applyNumberFormat="1" applyBorder="1" applyAlignment="1">
      <alignment horizontal="center"/>
    </xf>
    <xf numFmtId="4" fontId="0" fillId="0" borderId="49" xfId="0" applyNumberFormat="1" applyFill="1" applyBorder="1" applyAlignment="1">
      <alignment horizontal="center"/>
    </xf>
    <xf numFmtId="4" fontId="0" fillId="0" borderId="50" xfId="0" applyNumberFormat="1" applyFill="1" applyBorder="1" applyAlignment="1">
      <alignment horizontal="center"/>
    </xf>
    <xf numFmtId="4" fontId="0" fillId="5" borderId="50" xfId="0" applyNumberFormat="1" applyFill="1" applyBorder="1" applyAlignment="1">
      <alignment horizontal="center" vertical="center"/>
    </xf>
    <xf numFmtId="4" fontId="0" fillId="0" borderId="51" xfId="0" applyNumberFormat="1" applyBorder="1" applyAlignment="1">
      <alignment horizontal="center"/>
    </xf>
    <xf numFmtId="4" fontId="0" fillId="0" borderId="52" xfId="0" applyNumberFormat="1" applyBorder="1" applyAlignment="1">
      <alignment horizontal="center"/>
    </xf>
    <xf numFmtId="4" fontId="0" fillId="0" borderId="53" xfId="0" applyNumberFormat="1" applyBorder="1" applyAlignment="1">
      <alignment horizontal="center"/>
    </xf>
    <xf numFmtId="4" fontId="0" fillId="0" borderId="54" xfId="0" applyNumberFormat="1" applyBorder="1"/>
    <xf numFmtId="4" fontId="0" fillId="9" borderId="52" xfId="0" applyNumberFormat="1" applyFill="1" applyBorder="1"/>
    <xf numFmtId="4" fontId="0" fillId="9" borderId="55" xfId="0" applyNumberFormat="1" applyFill="1" applyBorder="1"/>
    <xf numFmtId="4" fontId="0" fillId="0" borderId="32" xfId="0" applyNumberFormat="1" applyBorder="1"/>
    <xf numFmtId="165" fontId="9" fillId="0" borderId="33" xfId="1" applyNumberFormat="1" applyFont="1" applyBorder="1" applyAlignment="1">
      <alignment horizontal="center"/>
    </xf>
    <xf numFmtId="164" fontId="0" fillId="0" borderId="36" xfId="0" applyNumberFormat="1" applyBorder="1" applyAlignment="1">
      <alignment horizontal="right"/>
    </xf>
    <xf numFmtId="4" fontId="11" fillId="0" borderId="0" xfId="2" applyNumberFormat="1" applyFont="1" applyFill="1" applyAlignment="1">
      <alignment horizontal="centerContinuous"/>
    </xf>
    <xf numFmtId="4" fontId="0" fillId="0" borderId="0" xfId="0" applyNumberFormat="1" applyFill="1" applyAlignment="1">
      <alignment horizontal="centerContinuous"/>
    </xf>
    <xf numFmtId="0" fontId="0" fillId="0" borderId="0" xfId="0" applyFill="1"/>
    <xf numFmtId="0" fontId="11" fillId="0" borderId="0" xfId="2" applyFont="1" applyFill="1" applyBorder="1"/>
    <xf numFmtId="0" fontId="12" fillId="0" borderId="0" xfId="0" applyFont="1" applyAlignment="1">
      <alignment horizontal="right"/>
    </xf>
    <xf numFmtId="4" fontId="7" fillId="0" borderId="56" xfId="0" applyNumberFormat="1" applyFont="1" applyBorder="1"/>
    <xf numFmtId="167" fontId="4" fillId="0" borderId="28" xfId="0" applyNumberFormat="1" applyFont="1" applyBorder="1"/>
    <xf numFmtId="4" fontId="4" fillId="3" borderId="29" xfId="0" applyNumberFormat="1" applyFont="1" applyFill="1" applyBorder="1"/>
    <xf numFmtId="4" fontId="4" fillId="0" borderId="30" xfId="0" applyNumberFormat="1" applyFont="1" applyBorder="1"/>
    <xf numFmtId="4" fontId="4" fillId="0" borderId="31" xfId="0" applyNumberFormat="1" applyFont="1" applyBorder="1"/>
    <xf numFmtId="4" fontId="4" fillId="4" borderId="32" xfId="0" applyNumberFormat="1" applyFont="1" applyFill="1" applyBorder="1" applyAlignment="1">
      <alignment horizontal="right"/>
    </xf>
    <xf numFmtId="4" fontId="4" fillId="4" borderId="33" xfId="0" applyNumberFormat="1" applyFont="1" applyFill="1" applyBorder="1" applyAlignment="1">
      <alignment horizontal="right"/>
    </xf>
    <xf numFmtId="4" fontId="4" fillId="5" borderId="34" xfId="0" applyNumberFormat="1" applyFont="1" applyFill="1" applyBorder="1"/>
    <xf numFmtId="4" fontId="4" fillId="0" borderId="35" xfId="0" applyNumberFormat="1" applyFont="1" applyBorder="1"/>
    <xf numFmtId="4" fontId="4" fillId="0" borderId="36" xfId="0" applyNumberFormat="1" applyFont="1" applyBorder="1"/>
    <xf numFmtId="4" fontId="4" fillId="0" borderId="30" xfId="0" applyNumberFormat="1" applyFont="1" applyBorder="1" applyAlignment="1">
      <alignment horizontal="center"/>
    </xf>
    <xf numFmtId="4" fontId="4" fillId="6" borderId="37" xfId="0" applyNumberFormat="1" applyFont="1" applyFill="1" applyBorder="1"/>
    <xf numFmtId="4" fontId="4" fillId="0" borderId="38" xfId="0" applyNumberFormat="1" applyFont="1" applyBorder="1"/>
    <xf numFmtId="4" fontId="4" fillId="0" borderId="39" xfId="0" applyNumberFormat="1" applyFont="1" applyBorder="1"/>
    <xf numFmtId="4" fontId="4" fillId="3" borderId="37" xfId="0" applyNumberFormat="1" applyFont="1" applyFill="1" applyBorder="1"/>
    <xf numFmtId="4" fontId="4" fillId="0" borderId="41" xfId="0" applyNumberFormat="1" applyFont="1" applyBorder="1" applyAlignment="1">
      <alignment horizontal="center"/>
    </xf>
    <xf numFmtId="4" fontId="4" fillId="4" borderId="42" xfId="0" applyNumberFormat="1" applyFont="1" applyFill="1" applyBorder="1" applyAlignment="1">
      <alignment horizontal="right"/>
    </xf>
    <xf numFmtId="4" fontId="4" fillId="4" borderId="9" xfId="0" applyNumberFormat="1" applyFont="1" applyFill="1" applyBorder="1" applyAlignment="1">
      <alignment horizontal="right"/>
    </xf>
    <xf numFmtId="4" fontId="4" fillId="0" borderId="43" xfId="0" applyNumberFormat="1" applyFont="1" applyBorder="1"/>
    <xf numFmtId="4" fontId="4" fillId="0" borderId="44" xfId="0" applyNumberFormat="1" applyFont="1" applyBorder="1"/>
    <xf numFmtId="4" fontId="4" fillId="0" borderId="0" xfId="0" applyNumberFormat="1" applyFont="1" applyBorder="1"/>
    <xf numFmtId="4" fontId="4" fillId="4" borderId="13" xfId="0" applyNumberFormat="1" applyFont="1" applyFill="1" applyBorder="1" applyAlignment="1">
      <alignment horizontal="right"/>
    </xf>
    <xf numFmtId="167" fontId="0" fillId="0" borderId="28" xfId="0" applyNumberFormat="1" applyFont="1" applyBorder="1"/>
    <xf numFmtId="4" fontId="0" fillId="0" borderId="43" xfId="0" applyNumberFormat="1" applyFont="1" applyBorder="1"/>
    <xf numFmtId="4" fontId="0" fillId="0" borderId="38" xfId="0" applyNumberFormat="1" applyFont="1" applyBorder="1"/>
    <xf numFmtId="4" fontId="11" fillId="0" borderId="0" xfId="2" applyNumberFormat="1" applyFont="1" applyFill="1" applyAlignment="1">
      <alignment horizontal="center"/>
    </xf>
    <xf numFmtId="4" fontId="0" fillId="0" borderId="0" xfId="0" applyNumberFormat="1" applyFill="1" applyAlignment="1">
      <alignment horizontal="center"/>
    </xf>
    <xf numFmtId="167" fontId="13" fillId="0" borderId="28" xfId="0" applyNumberFormat="1" applyFont="1" applyBorder="1"/>
    <xf numFmtId="4" fontId="13" fillId="3" borderId="37" xfId="0" applyNumberFormat="1" applyFont="1" applyFill="1" applyBorder="1"/>
    <xf numFmtId="4" fontId="13" fillId="0" borderId="38" xfId="0" applyNumberFormat="1" applyFont="1" applyBorder="1"/>
    <xf numFmtId="4" fontId="13" fillId="0" borderId="41" xfId="0" applyNumberFormat="1" applyFont="1" applyBorder="1" applyAlignment="1">
      <alignment horizontal="center"/>
    </xf>
    <xf numFmtId="4" fontId="13" fillId="4" borderId="42" xfId="0" applyNumberFormat="1" applyFont="1" applyFill="1" applyBorder="1" applyAlignment="1">
      <alignment horizontal="right"/>
    </xf>
    <xf numFmtId="4" fontId="13" fillId="4" borderId="13" xfId="0" applyNumberFormat="1" applyFont="1" applyFill="1" applyBorder="1" applyAlignment="1">
      <alignment horizontal="right"/>
    </xf>
    <xf numFmtId="4" fontId="13" fillId="5" borderId="34" xfId="0" applyNumberFormat="1" applyFont="1" applyFill="1" applyBorder="1"/>
    <xf numFmtId="4" fontId="13" fillId="0" borderId="43" xfId="0" applyNumberFormat="1" applyFont="1" applyBorder="1"/>
    <xf numFmtId="4" fontId="13" fillId="0" borderId="44" xfId="0" applyNumberFormat="1" applyFont="1" applyBorder="1"/>
    <xf numFmtId="4" fontId="13" fillId="0" borderId="0" xfId="0" applyNumberFormat="1" applyFont="1" applyBorder="1"/>
    <xf numFmtId="4" fontId="13" fillId="6" borderId="37" xfId="0" applyNumberFormat="1" applyFont="1" applyFill="1" applyBorder="1"/>
    <xf numFmtId="4" fontId="13" fillId="0" borderId="39" xfId="0" applyNumberFormat="1" applyFont="1" applyBorder="1"/>
    <xf numFmtId="4" fontId="4" fillId="0" borderId="38" xfId="0" applyNumberFormat="1" applyFont="1" applyFill="1" applyBorder="1"/>
    <xf numFmtId="4" fontId="0" fillId="0" borderId="38" xfId="0" applyNumberFormat="1" applyFont="1" applyFill="1" applyBorder="1"/>
    <xf numFmtId="4" fontId="13" fillId="0" borderId="38" xfId="0" applyNumberFormat="1" applyFont="1" applyFill="1" applyBorder="1"/>
    <xf numFmtId="4" fontId="0" fillId="0" borderId="38" xfId="0" applyNumberFormat="1" applyFill="1" applyBorder="1"/>
    <xf numFmtId="0" fontId="15" fillId="3" borderId="11" xfId="0" applyFont="1" applyFill="1" applyBorder="1" applyAlignment="1">
      <alignment vertical="center"/>
    </xf>
    <xf numFmtId="4" fontId="15" fillId="6" borderId="11" xfId="0" applyNumberFormat="1" applyFont="1" applyFill="1" applyBorder="1" applyAlignment="1">
      <alignment vertical="center"/>
    </xf>
    <xf numFmtId="0" fontId="15" fillId="3" borderId="18" xfId="0" applyFont="1" applyFill="1" applyBorder="1" applyAlignment="1">
      <alignment horizontal="center" vertical="center" wrapText="1"/>
    </xf>
    <xf numFmtId="0" fontId="15" fillId="6" borderId="25" xfId="0" applyFont="1" applyFill="1" applyBorder="1" applyAlignment="1">
      <alignment horizontal="center" vertical="center" wrapText="1"/>
    </xf>
    <xf numFmtId="167" fontId="15" fillId="0" borderId="28" xfId="0" applyNumberFormat="1" applyFont="1" applyBorder="1"/>
    <xf numFmtId="4" fontId="15" fillId="3" borderId="29" xfId="0" applyNumberFormat="1" applyFont="1" applyFill="1" applyBorder="1"/>
    <xf numFmtId="4" fontId="15" fillId="0" borderId="30" xfId="0" applyNumberFormat="1" applyFont="1" applyBorder="1"/>
    <xf numFmtId="4" fontId="15" fillId="0" borderId="31" xfId="0" applyNumberFormat="1" applyFont="1" applyBorder="1"/>
    <xf numFmtId="4" fontId="15" fillId="4" borderId="32" xfId="0" applyNumberFormat="1" applyFont="1" applyFill="1" applyBorder="1" applyAlignment="1">
      <alignment horizontal="right"/>
    </xf>
    <xf numFmtId="4" fontId="15" fillId="5" borderId="34" xfId="0" applyNumberFormat="1" applyFont="1" applyFill="1" applyBorder="1"/>
    <xf numFmtId="4" fontId="15" fillId="0" borderId="35" xfId="0" applyNumberFormat="1" applyFont="1" applyBorder="1"/>
    <xf numFmtId="4" fontId="15" fillId="0" borderId="36" xfId="0" applyNumberFormat="1" applyFont="1" applyBorder="1"/>
    <xf numFmtId="4" fontId="15" fillId="0" borderId="30" xfId="0" applyNumberFormat="1" applyFont="1" applyBorder="1" applyAlignment="1">
      <alignment horizontal="center"/>
    </xf>
    <xf numFmtId="4" fontId="15" fillId="6" borderId="37" xfId="0" applyNumberFormat="1" applyFont="1" applyFill="1" applyBorder="1"/>
    <xf numFmtId="4" fontId="15" fillId="0" borderId="38" xfId="0" applyNumberFormat="1" applyFont="1" applyBorder="1"/>
    <xf numFmtId="4" fontId="15" fillId="0" borderId="39" xfId="0" applyNumberFormat="1" applyFont="1" applyBorder="1"/>
    <xf numFmtId="4" fontId="15" fillId="0" borderId="32" xfId="0" applyNumberFormat="1" applyFont="1" applyBorder="1" applyAlignment="1">
      <alignment horizontal="center"/>
    </xf>
    <xf numFmtId="4" fontId="15" fillId="3" borderId="37" xfId="0" applyNumberFormat="1" applyFont="1" applyFill="1" applyBorder="1"/>
    <xf numFmtId="4" fontId="15" fillId="0" borderId="41" xfId="0" applyNumberFormat="1" applyFont="1" applyBorder="1" applyAlignment="1">
      <alignment horizontal="center"/>
    </xf>
    <xf numFmtId="4" fontId="15" fillId="4" borderId="42" xfId="0" applyNumberFormat="1" applyFont="1" applyFill="1" applyBorder="1" applyAlignment="1">
      <alignment horizontal="right"/>
    </xf>
    <xf numFmtId="4" fontId="15" fillId="0" borderId="43" xfId="0" applyNumberFormat="1" applyFont="1" applyBorder="1"/>
    <xf numFmtId="4" fontId="15" fillId="0" borderId="44" xfId="0" applyNumberFormat="1" applyFont="1" applyBorder="1"/>
    <xf numFmtId="4" fontId="15" fillId="0" borderId="0" xfId="0" applyNumberFormat="1" applyFont="1" applyBorder="1"/>
    <xf numFmtId="4" fontId="15" fillId="0" borderId="15" xfId="0" applyNumberFormat="1" applyFont="1" applyBorder="1"/>
    <xf numFmtId="0" fontId="15" fillId="0" borderId="46" xfId="0" applyFont="1" applyBorder="1"/>
    <xf numFmtId="4" fontId="15" fillId="0" borderId="47" xfId="0" applyNumberFormat="1" applyFont="1" applyBorder="1"/>
    <xf numFmtId="4" fontId="15" fillId="0" borderId="48" xfId="0" applyNumberFormat="1" applyFont="1" applyBorder="1" applyAlignment="1">
      <alignment horizontal="center"/>
    </xf>
    <xf numFmtId="4" fontId="15" fillId="0" borderId="49" xfId="0" applyNumberFormat="1" applyFont="1" applyFill="1" applyBorder="1" applyAlignment="1">
      <alignment horizontal="center"/>
    </xf>
    <xf numFmtId="4" fontId="15" fillId="5" borderId="50" xfId="0" applyNumberFormat="1" applyFont="1" applyFill="1" applyBorder="1" applyAlignment="1">
      <alignment horizontal="center" vertical="center"/>
    </xf>
    <xf numFmtId="4" fontId="15" fillId="0" borderId="51" xfId="0" applyNumberFormat="1" applyFont="1" applyBorder="1" applyAlignment="1">
      <alignment horizontal="center"/>
    </xf>
    <xf numFmtId="4" fontId="15" fillId="0" borderId="52" xfId="0" applyNumberFormat="1" applyFont="1" applyBorder="1" applyAlignment="1">
      <alignment horizontal="center"/>
    </xf>
    <xf numFmtId="4" fontId="15" fillId="0" borderId="53" xfId="0" applyNumberFormat="1" applyFont="1" applyBorder="1" applyAlignment="1">
      <alignment horizontal="center"/>
    </xf>
    <xf numFmtId="4" fontId="15" fillId="0" borderId="54" xfId="0" applyNumberFormat="1" applyFont="1" applyBorder="1"/>
    <xf numFmtId="4" fontId="15" fillId="9" borderId="52" xfId="0" applyNumberFormat="1" applyFont="1" applyFill="1" applyBorder="1"/>
    <xf numFmtId="4" fontId="15" fillId="9" borderId="55" xfId="0" applyNumberFormat="1" applyFont="1" applyFill="1" applyBorder="1"/>
    <xf numFmtId="4" fontId="15" fillId="0" borderId="32" xfId="0" applyNumberFormat="1" applyFont="1" applyBorder="1"/>
    <xf numFmtId="4" fontId="3" fillId="0" borderId="38" xfId="0" applyNumberFormat="1" applyFont="1" applyBorder="1"/>
    <xf numFmtId="0" fontId="14" fillId="0" borderId="0" xfId="0" applyFont="1" applyAlignment="1">
      <alignment horizontal="center"/>
    </xf>
    <xf numFmtId="165" fontId="0" fillId="0" borderId="0" xfId="0" applyNumberFormat="1" applyBorder="1"/>
    <xf numFmtId="0" fontId="15" fillId="0" borderId="64" xfId="0" applyFont="1" applyBorder="1" applyAlignment="1">
      <alignment horizontal="center" vertical="center" wrapText="1"/>
    </xf>
    <xf numFmtId="0" fontId="15" fillId="0" borderId="65" xfId="0" applyFont="1" applyBorder="1" applyAlignment="1">
      <alignment horizontal="center" vertical="center" wrapText="1"/>
    </xf>
    <xf numFmtId="4" fontId="15" fillId="0" borderId="42" xfId="0" applyNumberFormat="1" applyFont="1" applyBorder="1"/>
    <xf numFmtId="4" fontId="15" fillId="9" borderId="66" xfId="0" applyNumberFormat="1" applyFont="1" applyFill="1" applyBorder="1"/>
    <xf numFmtId="4" fontId="14" fillId="0" borderId="38" xfId="0" applyNumberFormat="1" applyFont="1" applyBorder="1"/>
    <xf numFmtId="4" fontId="2" fillId="6" borderId="37" xfId="0" applyNumberFormat="1" applyFont="1" applyFill="1" applyBorder="1"/>
    <xf numFmtId="4" fontId="2" fillId="0" borderId="38" xfId="0" applyNumberFormat="1" applyFont="1" applyBorder="1"/>
    <xf numFmtId="167" fontId="2" fillId="0" borderId="28" xfId="0" applyNumberFormat="1" applyFont="1" applyBorder="1"/>
    <xf numFmtId="4" fontId="2" fillId="3" borderId="29" xfId="0" applyNumberFormat="1" applyFont="1" applyFill="1" applyBorder="1"/>
    <xf numFmtId="4" fontId="2" fillId="0" borderId="30" xfId="0" applyNumberFormat="1" applyFont="1" applyBorder="1"/>
    <xf numFmtId="4" fontId="2" fillId="0" borderId="31" xfId="0" applyNumberFormat="1" applyFont="1" applyBorder="1"/>
    <xf numFmtId="4" fontId="2" fillId="4" borderId="32" xfId="0" applyNumberFormat="1" applyFont="1" applyFill="1" applyBorder="1" applyAlignment="1">
      <alignment horizontal="right"/>
    </xf>
    <xf numFmtId="4" fontId="2" fillId="5" borderId="34" xfId="0" applyNumberFormat="1" applyFont="1" applyFill="1" applyBorder="1"/>
    <xf numFmtId="4" fontId="2" fillId="0" borderId="35" xfId="0" applyNumberFormat="1" applyFont="1" applyBorder="1"/>
    <xf numFmtId="4" fontId="2" fillId="0" borderId="36" xfId="0" applyNumberFormat="1" applyFont="1" applyBorder="1"/>
    <xf numFmtId="4" fontId="2" fillId="0" borderId="30" xfId="0" applyNumberFormat="1" applyFont="1" applyBorder="1" applyAlignment="1">
      <alignment horizontal="center"/>
    </xf>
    <xf numFmtId="4" fontId="2" fillId="0" borderId="43" xfId="0" applyNumberFormat="1" applyFont="1" applyBorder="1"/>
    <xf numFmtId="4" fontId="2" fillId="0" borderId="39" xfId="0" applyNumberFormat="1" applyFont="1" applyBorder="1"/>
    <xf numFmtId="4" fontId="2" fillId="0" borderId="32" xfId="0" applyNumberFormat="1" applyFont="1" applyBorder="1" applyAlignment="1">
      <alignment horizontal="center"/>
    </xf>
    <xf numFmtId="4" fontId="2" fillId="3" borderId="37" xfId="0" applyNumberFormat="1" applyFont="1" applyFill="1" applyBorder="1"/>
    <xf numFmtId="4" fontId="2" fillId="0" borderId="41" xfId="0" applyNumberFormat="1" applyFont="1" applyBorder="1" applyAlignment="1">
      <alignment horizontal="center"/>
    </xf>
    <xf numFmtId="4" fontId="2" fillId="4" borderId="42" xfId="0" applyNumberFormat="1" applyFont="1" applyFill="1" applyBorder="1" applyAlignment="1">
      <alignment horizontal="right"/>
    </xf>
    <xf numFmtId="4" fontId="2" fillId="0" borderId="44" xfId="0" applyNumberFormat="1" applyFont="1" applyBorder="1"/>
    <xf numFmtId="4" fontId="2" fillId="0" borderId="0" xfId="0" applyNumberFormat="1" applyFont="1" applyBorder="1"/>
    <xf numFmtId="4" fontId="2" fillId="0" borderId="15" xfId="0" applyNumberFormat="1" applyFont="1" applyBorder="1"/>
    <xf numFmtId="4" fontId="14" fillId="0" borderId="0" xfId="0" applyNumberFormat="1" applyFont="1"/>
    <xf numFmtId="0" fontId="0" fillId="2" borderId="4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167" fontId="0" fillId="0" borderId="44" xfId="0" applyNumberFormat="1" applyBorder="1"/>
    <xf numFmtId="0" fontId="0" fillId="0" borderId="67" xfId="0" applyBorder="1"/>
    <xf numFmtId="0" fontId="0" fillId="4" borderId="13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16" fillId="0" borderId="0" xfId="0" applyFont="1"/>
    <xf numFmtId="4" fontId="6" fillId="0" borderId="0" xfId="0" applyNumberFormat="1" applyFont="1"/>
    <xf numFmtId="4" fontId="4" fillId="0" borderId="68" xfId="0" applyNumberFormat="1" applyFont="1" applyBorder="1"/>
    <xf numFmtId="0" fontId="0" fillId="4" borderId="6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14" fillId="0" borderId="0" xfId="0" applyFont="1"/>
    <xf numFmtId="4" fontId="17" fillId="0" borderId="0" xfId="2" applyNumberFormat="1" applyFont="1" applyFill="1" applyBorder="1"/>
    <xf numFmtId="169" fontId="18" fillId="10" borderId="1" xfId="0" applyNumberFormat="1" applyFont="1" applyFill="1" applyBorder="1"/>
    <xf numFmtId="0" fontId="0" fillId="0" borderId="0" xfId="0" applyAlignment="1">
      <alignment horizontal="center" wrapText="1"/>
    </xf>
    <xf numFmtId="4" fontId="14" fillId="5" borderId="34" xfId="0" applyNumberFormat="1" applyFont="1" applyFill="1" applyBorder="1"/>
    <xf numFmtId="4" fontId="14" fillId="0" borderId="43" xfId="0" applyNumberFormat="1" applyFont="1" applyBorder="1"/>
    <xf numFmtId="4" fontId="14" fillId="0" borderId="39" xfId="0" applyNumberFormat="1" applyFont="1" applyBorder="1"/>
    <xf numFmtId="4" fontId="19" fillId="11" borderId="37" xfId="0" applyNumberFormat="1" applyFont="1" applyFill="1" applyBorder="1"/>
    <xf numFmtId="4" fontId="0" fillId="11" borderId="54" xfId="0" applyNumberFormat="1" applyFill="1" applyBorder="1"/>
    <xf numFmtId="4" fontId="20" fillId="11" borderId="37" xfId="0" applyNumberFormat="1" applyFont="1" applyFill="1" applyBorder="1"/>
    <xf numFmtId="0" fontId="5" fillId="0" borderId="0" xfId="0" applyFont="1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24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4" fontId="0" fillId="6" borderId="3" xfId="0" applyNumberFormat="1" applyFill="1" applyBorder="1" applyAlignment="1">
      <alignment horizontal="center" vertical="center"/>
    </xf>
    <xf numFmtId="4" fontId="0" fillId="6" borderId="4" xfId="0" applyNumberFormat="1" applyFill="1" applyBorder="1" applyAlignment="1">
      <alignment horizontal="center" vertical="center"/>
    </xf>
    <xf numFmtId="4" fontId="0" fillId="6" borderId="7" xfId="0" applyNumberFormat="1" applyFill="1" applyBorder="1" applyAlignment="1">
      <alignment horizontal="center" vertical="center"/>
    </xf>
    <xf numFmtId="4" fontId="0" fillId="6" borderId="11" xfId="0" applyNumberFormat="1" applyFill="1" applyBorder="1" applyAlignment="1">
      <alignment horizontal="center" vertical="center"/>
    </xf>
    <xf numFmtId="4" fontId="0" fillId="6" borderId="0" xfId="0" applyNumberFormat="1" applyFill="1" applyBorder="1" applyAlignment="1">
      <alignment horizontal="center" vertical="center"/>
    </xf>
    <xf numFmtId="4" fontId="0" fillId="6" borderId="14" xfId="0" applyNumberFormat="1" applyFill="1" applyBorder="1" applyAlignment="1">
      <alignment horizontal="center" vertical="center"/>
    </xf>
    <xf numFmtId="4" fontId="0" fillId="6" borderId="8" xfId="0" applyNumberFormat="1" applyFill="1" applyBorder="1" applyAlignment="1">
      <alignment horizontal="center" vertical="center"/>
    </xf>
    <xf numFmtId="4" fontId="0" fillId="6" borderId="15" xfId="0" applyNumberFormat="1" applyFill="1" applyBorder="1" applyAlignment="1">
      <alignment horizontal="center" vertical="center"/>
    </xf>
    <xf numFmtId="166" fontId="0" fillId="0" borderId="17" xfId="0" applyNumberFormat="1" applyBorder="1" applyAlignment="1">
      <alignment horizontal="center" vertical="center"/>
    </xf>
    <xf numFmtId="166" fontId="0" fillId="0" borderId="23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49" fontId="0" fillId="7" borderId="9" xfId="0" applyNumberFormat="1" applyFill="1" applyBorder="1" applyAlignment="1">
      <alignment horizontal="center" vertical="center" wrapText="1"/>
    </xf>
    <xf numFmtId="49" fontId="0" fillId="7" borderId="13" xfId="0" applyNumberFormat="1" applyFill="1" applyBorder="1" applyAlignment="1">
      <alignment horizontal="center" vertical="center" wrapText="1"/>
    </xf>
    <xf numFmtId="49" fontId="0" fillId="7" borderId="24" xfId="0" applyNumberForma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wrapText="1"/>
    </xf>
    <xf numFmtId="0" fontId="0" fillId="5" borderId="18" xfId="0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21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 wrapText="1"/>
    </xf>
    <xf numFmtId="0" fontId="15" fillId="4" borderId="24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11" xfId="0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center" vertical="center"/>
    </xf>
    <xf numFmtId="0" fontId="15" fillId="5" borderId="12" xfId="0" applyFont="1" applyFill="1" applyBorder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5" borderId="18" xfId="0" applyFont="1" applyFill="1" applyBorder="1" applyAlignment="1">
      <alignment horizontal="center" vertical="center"/>
    </xf>
    <xf numFmtId="0" fontId="15" fillId="5" borderId="25" xfId="0" applyFont="1" applyFill="1" applyBorder="1" applyAlignment="1">
      <alignment horizontal="center" vertical="center"/>
    </xf>
    <xf numFmtId="0" fontId="15" fillId="0" borderId="20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4" fontId="15" fillId="6" borderId="8" xfId="0" applyNumberFormat="1" applyFont="1" applyFill="1" applyBorder="1" applyAlignment="1">
      <alignment horizontal="center" vertical="center" wrapText="1"/>
    </xf>
    <xf numFmtId="4" fontId="15" fillId="6" borderId="15" xfId="0" applyNumberFormat="1" applyFont="1" applyFill="1" applyBorder="1" applyAlignment="1">
      <alignment horizontal="center" vertical="center"/>
    </xf>
    <xf numFmtId="4" fontId="15" fillId="6" borderId="3" xfId="0" applyNumberFormat="1" applyFont="1" applyFill="1" applyBorder="1" applyAlignment="1">
      <alignment horizontal="center" vertical="center"/>
    </xf>
    <xf numFmtId="4" fontId="15" fillId="6" borderId="4" xfId="0" applyNumberFormat="1" applyFont="1" applyFill="1" applyBorder="1" applyAlignment="1">
      <alignment horizontal="center" vertical="center"/>
    </xf>
    <xf numFmtId="4" fontId="15" fillId="6" borderId="7" xfId="0" applyNumberFormat="1" applyFont="1" applyFill="1" applyBorder="1" applyAlignment="1">
      <alignment horizontal="center" vertical="center"/>
    </xf>
    <xf numFmtId="4" fontId="15" fillId="6" borderId="11" xfId="0" applyNumberFormat="1" applyFont="1" applyFill="1" applyBorder="1" applyAlignment="1">
      <alignment horizontal="center" vertical="center"/>
    </xf>
    <xf numFmtId="4" fontId="15" fillId="6" borderId="0" xfId="0" applyNumberFormat="1" applyFont="1" applyFill="1" applyBorder="1" applyAlignment="1">
      <alignment horizontal="center" vertical="center"/>
    </xf>
    <xf numFmtId="4" fontId="15" fillId="6" borderId="14" xfId="0" applyNumberFormat="1" applyFont="1" applyFill="1" applyBorder="1" applyAlignment="1">
      <alignment horizontal="center" vertical="center"/>
    </xf>
    <xf numFmtId="166" fontId="15" fillId="0" borderId="17" xfId="0" applyNumberFormat="1" applyFont="1" applyBorder="1" applyAlignment="1">
      <alignment horizontal="center" vertical="center"/>
    </xf>
    <xf numFmtId="166" fontId="15" fillId="0" borderId="23" xfId="0" applyNumberFormat="1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4" fontId="15" fillId="6" borderId="8" xfId="0" applyNumberFormat="1" applyFont="1" applyFill="1" applyBorder="1" applyAlignment="1">
      <alignment horizontal="center" vertical="center"/>
    </xf>
    <xf numFmtId="164" fontId="7" fillId="0" borderId="59" xfId="0" applyNumberFormat="1" applyFont="1" applyBorder="1" applyAlignment="1">
      <alignment horizontal="center" wrapText="1"/>
    </xf>
    <xf numFmtId="164" fontId="7" fillId="0" borderId="60" xfId="0" applyNumberFormat="1" applyFont="1" applyBorder="1" applyAlignment="1">
      <alignment horizontal="center" wrapText="1"/>
    </xf>
    <xf numFmtId="164" fontId="7" fillId="0" borderId="61" xfId="0" applyNumberFormat="1" applyFont="1" applyBorder="1" applyAlignment="1">
      <alignment horizontal="center" wrapText="1"/>
    </xf>
    <xf numFmtId="164" fontId="7" fillId="0" borderId="62" xfId="0" applyNumberFormat="1" applyFont="1" applyBorder="1" applyAlignment="1">
      <alignment horizontal="center" wrapText="1"/>
    </xf>
    <xf numFmtId="164" fontId="7" fillId="0" borderId="43" xfId="0" applyNumberFormat="1" applyFont="1" applyBorder="1" applyAlignment="1">
      <alignment horizontal="center" wrapText="1"/>
    </xf>
    <xf numFmtId="164" fontId="7" fillId="0" borderId="44" xfId="0" applyNumberFormat="1" applyFont="1" applyBorder="1" applyAlignment="1">
      <alignment horizontal="center" wrapText="1"/>
    </xf>
    <xf numFmtId="4" fontId="0" fillId="6" borderId="57" xfId="0" applyNumberFormat="1" applyFill="1" applyBorder="1" applyAlignment="1">
      <alignment horizontal="center" vertical="center"/>
    </xf>
    <xf numFmtId="4" fontId="0" fillId="6" borderId="58" xfId="0" applyNumberFormat="1" applyFill="1" applyBorder="1" applyAlignment="1">
      <alignment horizontal="center" vertical="center"/>
    </xf>
    <xf numFmtId="0" fontId="0" fillId="0" borderId="63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</cellXfs>
  <cellStyles count="3">
    <cellStyle name="Normalny_Arkusz1" xfId="2"/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r/olka/Seminary/My_seminars/Kred_07_2012/amort_shedule_3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Olga/Seminary/Misto/Example%20modif/Examples%20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mt"/>
      <sheetName val="amort_shed"/>
      <sheetName val="CF"/>
      <sheetName val="XLR_NoRangeSheet"/>
      <sheetName val="primer_5"/>
      <sheetName val="prim_5_f"/>
      <sheetName val="primer_6"/>
      <sheetName val="primer_7"/>
      <sheetName val="primer_7_f"/>
      <sheetName val="primer_8"/>
      <sheetName val="primer_8_f"/>
      <sheetName val="primer_9"/>
      <sheetName val="primer_9_f"/>
      <sheetName val="primer-10"/>
      <sheetName val="primer_10_f"/>
      <sheetName val="Лист12"/>
      <sheetName val="Лист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"/>
      <sheetName val="2  initial"/>
      <sheetName val="3_FV"/>
      <sheetName val="4"/>
      <sheetName val="4 new interest rate"/>
      <sheetName val="5"/>
      <sheetName val="5 prepayment"/>
      <sheetName val="5 initial"/>
      <sheetName val="6"/>
      <sheetName val="6 new fee"/>
      <sheetName val="6 initial"/>
      <sheetName val="7 imp"/>
      <sheetName val="8 irc"/>
      <sheetName val="9 new interest rate"/>
    </sheetNames>
    <sheetDataSet>
      <sheetData sheetId="0"/>
      <sheetData sheetId="1">
        <row r="6">
          <cell r="O6">
            <v>0.31053376793861398</v>
          </cell>
        </row>
        <row r="23">
          <cell r="A23">
            <v>41141</v>
          </cell>
        </row>
        <row r="24">
          <cell r="A24">
            <v>41152</v>
          </cell>
        </row>
        <row r="25">
          <cell r="A25">
            <v>41172</v>
          </cell>
        </row>
        <row r="26">
          <cell r="A26">
            <v>41182</v>
          </cell>
        </row>
        <row r="27">
          <cell r="A27">
            <v>41202</v>
          </cell>
        </row>
        <row r="28">
          <cell r="A28">
            <v>41213</v>
          </cell>
        </row>
        <row r="29">
          <cell r="A29">
            <v>41233</v>
          </cell>
        </row>
        <row r="30">
          <cell r="A30">
            <v>41243</v>
          </cell>
        </row>
        <row r="31">
          <cell r="A31">
            <v>41263</v>
          </cell>
        </row>
        <row r="32">
          <cell r="A32">
            <v>41274</v>
          </cell>
        </row>
        <row r="33">
          <cell r="A33">
            <v>41294</v>
          </cell>
        </row>
        <row r="34">
          <cell r="A34">
            <v>41305</v>
          </cell>
        </row>
        <row r="35">
          <cell r="A35">
            <v>41325</v>
          </cell>
        </row>
        <row r="36">
          <cell r="A36">
            <v>41333</v>
          </cell>
        </row>
        <row r="37">
          <cell r="A37">
            <v>41350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3">
          <cell r="Z13">
            <v>40985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 t="str">
            <v>х</v>
          </cell>
        </row>
        <row r="14">
          <cell r="Z14">
            <v>40999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</row>
        <row r="15">
          <cell r="Z15">
            <v>41019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</row>
        <row r="16">
          <cell r="Z16">
            <v>41029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</row>
        <row r="17">
          <cell r="Z17">
            <v>41049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</row>
        <row r="18">
          <cell r="Z18">
            <v>41060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</row>
        <row r="19">
          <cell r="Z19">
            <v>41080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35633.564489985867</v>
          </cell>
          <cell r="AF19">
            <v>36494.674489985868</v>
          </cell>
          <cell r="AG19">
            <v>36000</v>
          </cell>
          <cell r="AH19">
            <v>4000</v>
          </cell>
          <cell r="AI19">
            <v>0</v>
          </cell>
          <cell r="AJ19">
            <v>861.11</v>
          </cell>
          <cell r="AK19">
            <v>0</v>
          </cell>
          <cell r="AL19">
            <v>-250.87751856554661</v>
          </cell>
          <cell r="AM19">
            <v>-4115.5579914485861</v>
          </cell>
          <cell r="AN19">
            <v>0</v>
          </cell>
          <cell r="AO19">
            <v>527.77777777777783</v>
          </cell>
          <cell r="AP19">
            <v>0</v>
          </cell>
          <cell r="AQ19">
            <v>66.011309563027226</v>
          </cell>
          <cell r="AR19">
            <v>-4115.5579914485861</v>
          </cell>
        </row>
        <row r="20">
          <cell r="Z20">
            <v>41090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35898.55992241823</v>
          </cell>
          <cell r="AF20">
            <v>35898.559922418237</v>
          </cell>
          <cell r="AG20">
            <v>36000</v>
          </cell>
          <cell r="AH20">
            <v>4000</v>
          </cell>
          <cell r="AI20">
            <v>275</v>
          </cell>
          <cell r="AJ20">
            <v>861.11</v>
          </cell>
          <cell r="AK20">
            <v>27.777777777777779</v>
          </cell>
          <cell r="AL20">
            <v>-260.02271827725036</v>
          </cell>
          <cell r="AM20">
            <v>-5005.3051370822968</v>
          </cell>
          <cell r="AN20">
            <v>0</v>
          </cell>
          <cell r="AO20">
            <v>275</v>
          </cell>
          <cell r="AP20">
            <v>27.777777777777779</v>
          </cell>
          <cell r="AQ20">
            <v>-9.1451997117037536</v>
          </cell>
          <cell r="AR20">
            <v>-889.74714563371072</v>
          </cell>
        </row>
        <row r="21">
          <cell r="Z21">
            <v>41110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36434.477501703332</v>
          </cell>
          <cell r="AF21">
            <v>36434.477501703332</v>
          </cell>
          <cell r="AG21">
            <v>32000</v>
          </cell>
          <cell r="AH21">
            <v>8000</v>
          </cell>
          <cell r="AI21">
            <v>0</v>
          </cell>
          <cell r="AJ21">
            <v>1136.1100000000001</v>
          </cell>
          <cell r="AK21">
            <v>83.333333333333343</v>
          </cell>
          <cell r="AL21">
            <v>-200.88784053766705</v>
          </cell>
          <cell r="AM21">
            <v>-4584.0779910923347</v>
          </cell>
          <cell r="AN21">
            <v>0</v>
          </cell>
          <cell r="AO21">
            <v>475</v>
          </cell>
          <cell r="AP21">
            <v>55.555555555555557</v>
          </cell>
          <cell r="AQ21">
            <v>59.134877739583317</v>
          </cell>
          <cell r="AR21">
            <v>421.22714598996208</v>
          </cell>
        </row>
        <row r="22">
          <cell r="Z22">
            <v>41121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36732.634802462635</v>
          </cell>
          <cell r="AF22">
            <v>36732.634802462635</v>
          </cell>
          <cell r="AG22">
            <v>32000</v>
          </cell>
          <cell r="AH22">
            <v>8000</v>
          </cell>
          <cell r="AI22">
            <v>266.66666666666669</v>
          </cell>
          <cell r="AJ22">
            <v>1136.1100000000001</v>
          </cell>
          <cell r="AK22">
            <v>144.44444444444446</v>
          </cell>
          <cell r="AL22">
            <v>-207.33017854298532</v>
          </cell>
          <cell r="AM22">
            <v>-4607.2561301054902</v>
          </cell>
          <cell r="AN22">
            <v>0</v>
          </cell>
          <cell r="AO22">
            <v>266.66666666666669</v>
          </cell>
          <cell r="AP22">
            <v>61.111111111111114</v>
          </cell>
          <cell r="AQ22">
            <v>-6.4423380053182768</v>
          </cell>
          <cell r="AR22">
            <v>-23.178139013155487</v>
          </cell>
        </row>
      </sheetData>
      <sheetData sheetId="12"/>
      <sheetData sheetId="13">
        <row r="22">
          <cell r="B22">
            <v>-2495.4953772043045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Z46"/>
  <sheetViews>
    <sheetView topLeftCell="A22" workbookViewId="0">
      <selection activeCell="B17" sqref="B17"/>
    </sheetView>
  </sheetViews>
  <sheetFormatPr defaultRowHeight="15"/>
  <cols>
    <col min="1" max="1" width="12" customWidth="1"/>
    <col min="2" max="3" width="14.7109375" customWidth="1"/>
    <col min="4" max="4" width="13.140625" customWidth="1"/>
    <col min="5" max="5" width="10" customWidth="1"/>
    <col min="6" max="6" width="9.42578125" hidden="1" customWidth="1"/>
    <col min="7" max="7" width="13.85546875" hidden="1" customWidth="1"/>
    <col min="8" max="8" width="13.5703125" customWidth="1"/>
    <col min="9" max="9" width="12.7109375" customWidth="1"/>
    <col min="10" max="10" width="13.42578125" customWidth="1"/>
    <col min="11" max="11" width="12.7109375" customWidth="1"/>
    <col min="12" max="12" width="9.28515625" hidden="1" customWidth="1"/>
    <col min="13" max="13" width="13.5703125" customWidth="1"/>
    <col min="14" max="14" width="15.42578125" customWidth="1"/>
    <col min="15" max="15" width="14.140625" customWidth="1"/>
    <col min="16" max="16" width="11.42578125" hidden="1" customWidth="1"/>
    <col min="17" max="17" width="11.28515625" hidden="1" customWidth="1"/>
    <col min="18" max="18" width="0.7109375" customWidth="1"/>
    <col min="19" max="19" width="12.140625" style="2" hidden="1" customWidth="1"/>
    <col min="20" max="21" width="0" hidden="1" customWidth="1"/>
    <col min="22" max="22" width="11.28515625" hidden="1" customWidth="1"/>
    <col min="23" max="24" width="0" hidden="1" customWidth="1"/>
    <col min="25" max="25" width="49.28515625" hidden="1" customWidth="1"/>
  </cols>
  <sheetData>
    <row r="2" spans="1:26">
      <c r="B2" s="199"/>
      <c r="C2" s="199"/>
      <c r="D2" s="199"/>
      <c r="H2" s="199"/>
      <c r="I2" s="199"/>
      <c r="J2" s="199"/>
      <c r="K2" s="199"/>
      <c r="L2" s="199"/>
      <c r="N2" s="199" t="s">
        <v>0</v>
      </c>
      <c r="O2" s="199"/>
      <c r="P2" s="199"/>
      <c r="Q2" s="1"/>
    </row>
    <row r="3" spans="1:26" ht="4.5" customHeight="1"/>
    <row r="4" spans="1:26">
      <c r="B4" s="3"/>
      <c r="N4" s="3" t="s">
        <v>1</v>
      </c>
      <c r="O4" s="4"/>
    </row>
    <row r="5" spans="1:26" ht="4.5" customHeight="1">
      <c r="B5" s="3"/>
    </row>
    <row r="6" spans="1:26">
      <c r="B6" s="3"/>
      <c r="N6" s="3" t="s">
        <v>2</v>
      </c>
      <c r="O6" s="4" t="e">
        <f>XIRR(B13:B37,A13:A37)</f>
        <v>#NUM!</v>
      </c>
      <c r="S6" s="5"/>
      <c r="T6" s="6"/>
    </row>
    <row r="7" spans="1:26" ht="4.5" customHeight="1">
      <c r="B7" s="3"/>
    </row>
    <row r="8" spans="1:26" ht="15.75" thickBot="1">
      <c r="C8" s="7"/>
      <c r="D8" s="7"/>
      <c r="H8" s="7"/>
      <c r="I8" s="7"/>
    </row>
    <row r="9" spans="1:26" ht="13.5" customHeight="1" thickTop="1">
      <c r="A9" s="200" t="s">
        <v>3</v>
      </c>
      <c r="B9" s="203" t="s">
        <v>4</v>
      </c>
      <c r="C9" s="204"/>
      <c r="D9" s="204"/>
      <c r="E9" s="205"/>
      <c r="F9" s="209" t="s">
        <v>5</v>
      </c>
      <c r="G9" s="8"/>
      <c r="H9" s="212" t="s">
        <v>6</v>
      </c>
      <c r="I9" s="213"/>
      <c r="J9" s="213"/>
      <c r="K9" s="213"/>
      <c r="L9" s="214"/>
      <c r="M9" s="218" t="s">
        <v>7</v>
      </c>
      <c r="N9" s="219"/>
      <c r="O9" s="220"/>
      <c r="P9" s="224" t="s">
        <v>8</v>
      </c>
      <c r="Q9" s="232" t="s">
        <v>9</v>
      </c>
      <c r="R9" s="9"/>
      <c r="X9" s="235" t="s">
        <v>10</v>
      </c>
      <c r="Y9" s="235"/>
    </row>
    <row r="10" spans="1:26" ht="13.5" customHeight="1">
      <c r="A10" s="201"/>
      <c r="B10" s="206"/>
      <c r="C10" s="207"/>
      <c r="D10" s="207"/>
      <c r="E10" s="208"/>
      <c r="F10" s="210"/>
      <c r="G10" s="10"/>
      <c r="H10" s="215"/>
      <c r="I10" s="216"/>
      <c r="J10" s="216"/>
      <c r="K10" s="216"/>
      <c r="L10" s="217"/>
      <c r="M10" s="221"/>
      <c r="N10" s="222"/>
      <c r="O10" s="223"/>
      <c r="P10" s="225"/>
      <c r="Q10" s="233"/>
      <c r="R10" s="9"/>
      <c r="S10" s="11"/>
      <c r="X10" s="235"/>
      <c r="Y10" s="235"/>
    </row>
    <row r="11" spans="1:26" ht="13.5" customHeight="1">
      <c r="A11" s="201"/>
      <c r="B11" s="12"/>
      <c r="C11" s="228" t="s">
        <v>11</v>
      </c>
      <c r="D11" s="228" t="s">
        <v>12</v>
      </c>
      <c r="E11" s="230" t="s">
        <v>13</v>
      </c>
      <c r="F11" s="210"/>
      <c r="G11" s="210" t="s">
        <v>5</v>
      </c>
      <c r="H11" s="236" t="s">
        <v>14</v>
      </c>
      <c r="I11" s="228" t="s">
        <v>11</v>
      </c>
      <c r="J11" s="228" t="s">
        <v>15</v>
      </c>
      <c r="K11" s="228" t="s">
        <v>16</v>
      </c>
      <c r="L11" s="226" t="s">
        <v>17</v>
      </c>
      <c r="M11" s="13"/>
      <c r="N11" s="228" t="s">
        <v>18</v>
      </c>
      <c r="O11" s="238" t="s">
        <v>19</v>
      </c>
      <c r="P11" s="240" t="s">
        <v>20</v>
      </c>
      <c r="Q11" s="233"/>
      <c r="R11" s="9"/>
      <c r="S11" s="14"/>
      <c r="X11" s="235"/>
      <c r="Y11" s="235"/>
    </row>
    <row r="12" spans="1:26" ht="66.75" customHeight="1" thickBot="1">
      <c r="A12" s="202"/>
      <c r="B12" s="15" t="s">
        <v>14</v>
      </c>
      <c r="C12" s="229"/>
      <c r="D12" s="229"/>
      <c r="E12" s="231"/>
      <c r="F12" s="211"/>
      <c r="G12" s="211"/>
      <c r="H12" s="237"/>
      <c r="I12" s="229"/>
      <c r="J12" s="229"/>
      <c r="K12" s="229"/>
      <c r="L12" s="227"/>
      <c r="M12" s="16" t="s">
        <v>21</v>
      </c>
      <c r="N12" s="229"/>
      <c r="O12" s="239"/>
      <c r="P12" s="241"/>
      <c r="Q12" s="234"/>
      <c r="R12" s="17"/>
      <c r="V12" t="s">
        <v>22</v>
      </c>
      <c r="W12" t="s">
        <v>23</v>
      </c>
      <c r="X12" s="235"/>
      <c r="Y12" s="235"/>
    </row>
    <row r="13" spans="1:26" ht="16.5" thickTop="1" thickBot="1">
      <c r="A13" s="18">
        <v>40985</v>
      </c>
      <c r="B13" s="19">
        <f>C13+E13</f>
        <v>0</v>
      </c>
      <c r="C13" s="20"/>
      <c r="D13" s="20"/>
      <c r="E13" s="21"/>
      <c r="F13" s="22" t="e">
        <f>NPV($O$6,B16:B$37)</f>
        <v>#NUM!</v>
      </c>
      <c r="G13" s="23"/>
      <c r="H13" s="24" t="e">
        <f>(XNPV($O$6,B13:$B$37,A13:$A$37)-B13)*(1+O6)^(1/365)</f>
        <v>#NUM!</v>
      </c>
      <c r="I13" s="25">
        <f>C13*(-1)</f>
        <v>0</v>
      </c>
      <c r="J13" s="20">
        <f>I13*O4*1/360</f>
        <v>0</v>
      </c>
      <c r="K13" s="26" t="e">
        <f>-E13+O13</f>
        <v>#NUM!</v>
      </c>
      <c r="L13" s="27" t="s">
        <v>24</v>
      </c>
      <c r="M13" s="28" t="e">
        <f>H13+B13</f>
        <v>#NUM!</v>
      </c>
      <c r="N13" s="29">
        <f>J13</f>
        <v>0</v>
      </c>
      <c r="O13" s="30" t="e">
        <f>M13-N13</f>
        <v>#NUM!</v>
      </c>
      <c r="P13" s="31" t="s">
        <v>24</v>
      </c>
      <c r="Q13" s="32" t="s">
        <v>24</v>
      </c>
      <c r="R13" s="33"/>
      <c r="S13" s="2">
        <f>N12+N13-D13</f>
        <v>0</v>
      </c>
      <c r="U13" s="34"/>
      <c r="X13" s="35" t="s">
        <v>25</v>
      </c>
      <c r="Y13" s="36" t="s">
        <v>26</v>
      </c>
    </row>
    <row r="14" spans="1:26" ht="16.5" thickTop="1" thickBot="1">
      <c r="A14" s="18">
        <v>40999</v>
      </c>
      <c r="B14" s="37">
        <f>SUM(C14:E14)</f>
        <v>0</v>
      </c>
      <c r="C14" s="29"/>
      <c r="D14" s="29"/>
      <c r="E14" s="38" t="s">
        <v>24</v>
      </c>
      <c r="F14" s="39" t="e">
        <f>NPV($O$6,#REF!)</f>
        <v>#NUM!</v>
      </c>
      <c r="G14" s="40"/>
      <c r="H14" s="24" t="e">
        <f>(XNPV($O$6,B14:$B$37,A14:$A$37)-B14)*((1+$O$6)^(1/365))</f>
        <v>#NUM!</v>
      </c>
      <c r="I14" s="41">
        <f>I13-C14</f>
        <v>0</v>
      </c>
      <c r="J14" s="29">
        <f>J13+N14-D14</f>
        <v>0</v>
      </c>
      <c r="K14" s="42" t="e">
        <f>K13+O14</f>
        <v>#NUM!</v>
      </c>
      <c r="L14" s="33">
        <f>P14</f>
        <v>0</v>
      </c>
      <c r="M14" s="28" t="e">
        <f>H14-H13+B14</f>
        <v>#NUM!</v>
      </c>
      <c r="N14" s="29">
        <f>I13*O$4*(A14-A13)/360</f>
        <v>0</v>
      </c>
      <c r="O14" s="30" t="e">
        <f>M14-N14</f>
        <v>#NUM!</v>
      </c>
      <c r="P14" s="43">
        <v>0</v>
      </c>
      <c r="Q14" s="44"/>
      <c r="R14" s="33"/>
      <c r="T14" s="7" t="e">
        <f>O14</f>
        <v>#NUM!</v>
      </c>
      <c r="U14" s="7" t="e">
        <f>M14</f>
        <v>#NUM!</v>
      </c>
      <c r="V14" s="45" t="e">
        <f>N14+N12-#REF!</f>
        <v>#REF!</v>
      </c>
      <c r="W14" s="7" t="e">
        <f>J14-#REF!</f>
        <v>#REF!</v>
      </c>
      <c r="X14" s="7" t="e">
        <f>ROUND((O12+O14),2)</f>
        <v>#NUM!</v>
      </c>
      <c r="Y14" s="46" t="s">
        <v>27</v>
      </c>
      <c r="Z14" s="7"/>
    </row>
    <row r="15" spans="1:26" ht="16.5" thickTop="1" thickBot="1">
      <c r="A15" s="18">
        <v>41019</v>
      </c>
      <c r="B15" s="37">
        <f>SUM(C15:E15)</f>
        <v>0</v>
      </c>
      <c r="C15" s="29"/>
      <c r="D15" s="29"/>
      <c r="E15" s="38" t="s">
        <v>24</v>
      </c>
      <c r="F15" s="39" t="e">
        <f>NPV($O$6,#REF!)</f>
        <v>#NUM!</v>
      </c>
      <c r="G15" s="40"/>
      <c r="H15" s="24" t="e">
        <f>(XNPV($O$6,B15:$B$37,A15:$A$37)-B15)*((1+$O$6)^(1/365))</f>
        <v>#NUM!</v>
      </c>
      <c r="I15" s="41">
        <f>I13-C15</f>
        <v>0</v>
      </c>
      <c r="J15" s="29">
        <f t="shared" ref="J15:J37" si="0">J14+N15-D15</f>
        <v>0</v>
      </c>
      <c r="K15" s="42" t="e">
        <f t="shared" ref="K15:K37" si="1">K14+O15</f>
        <v>#NUM!</v>
      </c>
      <c r="L15" s="33">
        <f>P15</f>
        <v>0</v>
      </c>
      <c r="M15" s="28" t="e">
        <f>H15-H14+B15</f>
        <v>#NUM!</v>
      </c>
      <c r="N15" s="29">
        <f>I14*O$4*(A15-A14-1)/360</f>
        <v>0</v>
      </c>
      <c r="O15" s="30" t="e">
        <f>M15-N15</f>
        <v>#NUM!</v>
      </c>
      <c r="P15" s="43">
        <v>0</v>
      </c>
      <c r="Q15" s="44"/>
      <c r="R15" s="33"/>
      <c r="T15" s="7" t="e">
        <f>O15</f>
        <v>#NUM!</v>
      </c>
      <c r="U15" s="7" t="e">
        <f>M15</f>
        <v>#NUM!</v>
      </c>
      <c r="V15" s="45" t="e">
        <f>N15+N13-#REF!</f>
        <v>#REF!</v>
      </c>
      <c r="W15" s="7" t="e">
        <f>J15-#REF!</f>
        <v>#REF!</v>
      </c>
      <c r="X15" s="7" t="e">
        <f>ROUND((O13+O15),2)</f>
        <v>#NUM!</v>
      </c>
      <c r="Y15" s="46" t="s">
        <v>27</v>
      </c>
      <c r="Z15" s="7"/>
    </row>
    <row r="16" spans="1:26" ht="15.75" thickTop="1">
      <c r="A16" s="18">
        <v>41029</v>
      </c>
      <c r="B16" s="37">
        <f>SUM(C16:E16)</f>
        <v>0</v>
      </c>
      <c r="C16" s="29"/>
      <c r="D16" s="29"/>
      <c r="E16" s="38"/>
      <c r="F16" s="39" t="e">
        <f>NPV($O$6,#REF!)</f>
        <v>#NUM!</v>
      </c>
      <c r="G16" s="40"/>
      <c r="H16" s="24" t="e">
        <f>(XNPV($O$6,B16:$B$37,A16:$A$37)-B16)*((1+$O$6)^(1/365))</f>
        <v>#NUM!</v>
      </c>
      <c r="I16" s="41">
        <f t="shared" ref="I16:I37" si="2">I15-C16</f>
        <v>0</v>
      </c>
      <c r="J16" s="29">
        <f t="shared" si="0"/>
        <v>0</v>
      </c>
      <c r="K16" s="42" t="e">
        <f t="shared" si="1"/>
        <v>#NUM!</v>
      </c>
      <c r="L16" s="33">
        <f>P16</f>
        <v>0</v>
      </c>
      <c r="M16" s="28" t="e">
        <f t="shared" ref="M16:M37" si="3">H16-H15+B16</f>
        <v>#NUM!</v>
      </c>
      <c r="N16" s="29">
        <f>I15*O$4*(A16-A15+1)/360</f>
        <v>0</v>
      </c>
      <c r="O16" s="30" t="e">
        <f t="shared" ref="O16:O37" si="4">M16-N16</f>
        <v>#NUM!</v>
      </c>
      <c r="P16" s="43">
        <v>0</v>
      </c>
      <c r="Q16" s="44" t="e">
        <f>M16/H13</f>
        <v>#NUM!</v>
      </c>
      <c r="R16" s="33"/>
      <c r="S16" s="2">
        <f>N15+N16-D16</f>
        <v>0</v>
      </c>
      <c r="T16" s="7" t="e">
        <f>O16</f>
        <v>#NUM!</v>
      </c>
      <c r="U16" s="7" t="e">
        <f>M16</f>
        <v>#NUM!</v>
      </c>
      <c r="V16" s="45" t="e">
        <f>N16-#REF!</f>
        <v>#REF!</v>
      </c>
      <c r="W16" s="7" t="e">
        <f>J16-#REF!</f>
        <v>#REF!</v>
      </c>
      <c r="X16" s="7"/>
      <c r="Z16" s="7"/>
    </row>
    <row r="17" spans="1:26">
      <c r="A17" s="18">
        <v>41049</v>
      </c>
      <c r="B17" s="37">
        <f t="shared" ref="B17:B37" si="5">SUM(C17:E17)</f>
        <v>0</v>
      </c>
      <c r="C17" s="29"/>
      <c r="D17" s="29"/>
      <c r="E17" s="38"/>
      <c r="F17" s="39"/>
      <c r="G17" s="47"/>
      <c r="H17" s="24" t="e">
        <f>(XNPV($O$6,B17:$B$37,A17:$A$37)-B17)*((1+$O$6)^(1/365))</f>
        <v>#NUM!</v>
      </c>
      <c r="I17" s="41">
        <f t="shared" si="2"/>
        <v>0</v>
      </c>
      <c r="J17" s="29">
        <f t="shared" si="0"/>
        <v>0</v>
      </c>
      <c r="K17" s="42" t="e">
        <f t="shared" si="1"/>
        <v>#NUM!</v>
      </c>
      <c r="L17" s="33">
        <f>P17</f>
        <v>0</v>
      </c>
      <c r="M17" s="28" t="e">
        <f t="shared" si="3"/>
        <v>#NUM!</v>
      </c>
      <c r="N17" s="29">
        <f t="shared" ref="N17" si="6">I16*O$4*(A17-A16-1)/360</f>
        <v>0</v>
      </c>
      <c r="O17" s="30" t="e">
        <f t="shared" si="4"/>
        <v>#NUM!</v>
      </c>
      <c r="P17" s="43">
        <v>0</v>
      </c>
      <c r="Q17" s="44"/>
      <c r="R17" s="33"/>
      <c r="V17" s="45" t="e">
        <f>N17-#REF!</f>
        <v>#REF!</v>
      </c>
      <c r="W17" s="7" t="e">
        <f>J17-#REF!</f>
        <v>#REF!</v>
      </c>
      <c r="X17" s="7" t="e">
        <f>ROUND((O16+O17),2)</f>
        <v>#NUM!</v>
      </c>
      <c r="Y17" s="46" t="s">
        <v>28</v>
      </c>
      <c r="Z17" s="7"/>
    </row>
    <row r="18" spans="1:26">
      <c r="A18" s="18">
        <v>41060</v>
      </c>
      <c r="B18" s="37">
        <f t="shared" si="5"/>
        <v>0</v>
      </c>
      <c r="C18" s="29"/>
      <c r="D18" s="29"/>
      <c r="E18" s="38"/>
      <c r="F18" s="39"/>
      <c r="G18" s="47"/>
      <c r="H18" s="24" t="e">
        <f>(XNPV($O$6,B18:$B$37,A18:$A$37)-B18)*((1+$O$6)^(1/365))</f>
        <v>#NUM!</v>
      </c>
      <c r="I18" s="41">
        <f t="shared" si="2"/>
        <v>0</v>
      </c>
      <c r="J18" s="29">
        <f t="shared" si="0"/>
        <v>0</v>
      </c>
      <c r="K18" s="42" t="e">
        <f t="shared" si="1"/>
        <v>#NUM!</v>
      </c>
      <c r="L18" s="33">
        <f t="shared" ref="L18:L37" si="7">P18</f>
        <v>0</v>
      </c>
      <c r="M18" s="28" t="e">
        <f t="shared" si="3"/>
        <v>#NUM!</v>
      </c>
      <c r="N18" s="29">
        <f t="shared" ref="N18" si="8">I17*O$4*(A18-A17+1)/360</f>
        <v>0</v>
      </c>
      <c r="O18" s="30" t="e">
        <f t="shared" si="4"/>
        <v>#NUM!</v>
      </c>
      <c r="P18" s="43">
        <v>0</v>
      </c>
      <c r="Q18" s="44" t="e">
        <f>M18/H16</f>
        <v>#NUM!</v>
      </c>
      <c r="R18" s="33"/>
      <c r="S18" s="2">
        <f>N17+N18-D18</f>
        <v>0</v>
      </c>
      <c r="T18" s="7" t="e">
        <f>O18+O17</f>
        <v>#NUM!</v>
      </c>
      <c r="U18" s="7" t="e">
        <f>M17+M18</f>
        <v>#NUM!</v>
      </c>
      <c r="V18" s="45" t="e">
        <f>N18-#REF!</f>
        <v>#REF!</v>
      </c>
      <c r="W18" s="7" t="e">
        <f>J18-#REF!</f>
        <v>#REF!</v>
      </c>
      <c r="X18" s="7"/>
      <c r="Z18" s="7"/>
    </row>
    <row r="19" spans="1:26">
      <c r="A19" s="18">
        <v>41080</v>
      </c>
      <c r="B19" s="37">
        <f t="shared" si="5"/>
        <v>0</v>
      </c>
      <c r="C19" s="29"/>
      <c r="D19" s="29"/>
      <c r="E19" s="38"/>
      <c r="F19" s="39"/>
      <c r="G19" s="47"/>
      <c r="H19" s="24" t="e">
        <f>(XNPV($O$6,B19:$B$37,A19:$A$37)-B19)*((1+$O$6)^(1/365))</f>
        <v>#NUM!</v>
      </c>
      <c r="I19" s="41">
        <f t="shared" si="2"/>
        <v>0</v>
      </c>
      <c r="J19" s="29">
        <f t="shared" si="0"/>
        <v>0</v>
      </c>
      <c r="K19" s="42" t="e">
        <f t="shared" si="1"/>
        <v>#NUM!</v>
      </c>
      <c r="L19" s="33">
        <f t="shared" si="7"/>
        <v>0</v>
      </c>
      <c r="M19" s="28" t="e">
        <f t="shared" si="3"/>
        <v>#NUM!</v>
      </c>
      <c r="N19" s="29">
        <f t="shared" ref="N19" si="9">I18*O$4*(A19-A18-1)/360</f>
        <v>0</v>
      </c>
      <c r="O19" s="30" t="e">
        <f t="shared" si="4"/>
        <v>#NUM!</v>
      </c>
      <c r="P19" s="43">
        <v>0</v>
      </c>
      <c r="Q19" s="44"/>
      <c r="R19" s="33"/>
      <c r="V19" s="45" t="e">
        <f>N19-#REF!</f>
        <v>#REF!</v>
      </c>
      <c r="W19" s="7" t="e">
        <f>J19-#REF!</f>
        <v>#REF!</v>
      </c>
      <c r="X19" s="7" t="e">
        <f>ROUND((O18+O19),2)</f>
        <v>#NUM!</v>
      </c>
      <c r="Y19" s="46" t="s">
        <v>28</v>
      </c>
      <c r="Z19" s="7"/>
    </row>
    <row r="20" spans="1:26">
      <c r="A20" s="18">
        <v>41090</v>
      </c>
      <c r="B20" s="37">
        <f t="shared" si="5"/>
        <v>0</v>
      </c>
      <c r="C20" s="29"/>
      <c r="D20" s="29"/>
      <c r="E20" s="38"/>
      <c r="F20" s="39"/>
      <c r="G20" s="47"/>
      <c r="H20" s="24" t="e">
        <f>(XNPV($O$6,B20:$B$37,A20:$A$37)-B20)*((1+$O$6)^(1/365))</f>
        <v>#NUM!</v>
      </c>
      <c r="I20" s="41">
        <f t="shared" si="2"/>
        <v>0</v>
      </c>
      <c r="J20" s="29">
        <f t="shared" si="0"/>
        <v>0</v>
      </c>
      <c r="K20" s="42" t="e">
        <f t="shared" si="1"/>
        <v>#NUM!</v>
      </c>
      <c r="L20" s="33">
        <f t="shared" si="7"/>
        <v>0</v>
      </c>
      <c r="M20" s="28" t="e">
        <f t="shared" si="3"/>
        <v>#NUM!</v>
      </c>
      <c r="N20" s="29">
        <f t="shared" ref="N20" si="10">I19*O$4*(A20-A19+1)/360</f>
        <v>0</v>
      </c>
      <c r="O20" s="30" t="e">
        <f t="shared" si="4"/>
        <v>#NUM!</v>
      </c>
      <c r="P20" s="43">
        <v>0</v>
      </c>
      <c r="Q20" s="44" t="e">
        <f>M20/H18</f>
        <v>#NUM!</v>
      </c>
      <c r="R20" s="33"/>
      <c r="S20" s="2">
        <f>N19+N20-D20</f>
        <v>0</v>
      </c>
      <c r="T20" s="7" t="e">
        <f>O20+O19</f>
        <v>#NUM!</v>
      </c>
      <c r="U20" s="7" t="e">
        <f>M19+M20</f>
        <v>#NUM!</v>
      </c>
      <c r="V20" s="45" t="e">
        <f>N20-#REF!</f>
        <v>#REF!</v>
      </c>
      <c r="W20" s="7" t="e">
        <f>J20-#REF!</f>
        <v>#REF!</v>
      </c>
      <c r="X20" s="7"/>
      <c r="Z20" s="7"/>
    </row>
    <row r="21" spans="1:26">
      <c r="A21" s="18">
        <v>41110</v>
      </c>
      <c r="B21" s="37">
        <f t="shared" si="5"/>
        <v>0</v>
      </c>
      <c r="C21" s="29"/>
      <c r="D21" s="29"/>
      <c r="E21" s="38"/>
      <c r="F21" s="39"/>
      <c r="G21" s="47"/>
      <c r="H21" s="24" t="e">
        <f>(XNPV($O$6,B21:$B$37,A21:$A$37)-B21)*((1+$O$6)^(1/365))</f>
        <v>#NUM!</v>
      </c>
      <c r="I21" s="41">
        <f t="shared" si="2"/>
        <v>0</v>
      </c>
      <c r="J21" s="29">
        <f t="shared" si="0"/>
        <v>0</v>
      </c>
      <c r="K21" s="42" t="e">
        <f t="shared" si="1"/>
        <v>#NUM!</v>
      </c>
      <c r="L21" s="33">
        <f t="shared" si="7"/>
        <v>0</v>
      </c>
      <c r="M21" s="28" t="e">
        <f t="shared" si="3"/>
        <v>#NUM!</v>
      </c>
      <c r="N21" s="29">
        <f t="shared" ref="N21" si="11">I20*O$4*(A21-A20-1)/360</f>
        <v>0</v>
      </c>
      <c r="O21" s="30" t="e">
        <f t="shared" si="4"/>
        <v>#NUM!</v>
      </c>
      <c r="P21" s="43">
        <v>0</v>
      </c>
      <c r="Q21" s="44"/>
      <c r="R21" s="33"/>
      <c r="V21" s="45" t="e">
        <f>N21-#REF!</f>
        <v>#REF!</v>
      </c>
      <c r="W21" s="7" t="e">
        <f>J21-#REF!</f>
        <v>#REF!</v>
      </c>
      <c r="X21" s="7" t="e">
        <f>ROUND((O20+O21),2)</f>
        <v>#NUM!</v>
      </c>
      <c r="Y21" s="46" t="s">
        <v>28</v>
      </c>
      <c r="Z21" s="7"/>
    </row>
    <row r="22" spans="1:26">
      <c r="A22" s="18">
        <v>41121</v>
      </c>
      <c r="B22" s="37">
        <f t="shared" si="5"/>
        <v>0</v>
      </c>
      <c r="C22" s="29"/>
      <c r="D22" s="29"/>
      <c r="E22" s="38"/>
      <c r="F22" s="39"/>
      <c r="G22" s="47"/>
      <c r="H22" s="24" t="e">
        <f>(XNPV($O$6,B22:$B$37,A22:$A$37)-B22)*((1+$O$6)^(1/365))</f>
        <v>#NUM!</v>
      </c>
      <c r="I22" s="41">
        <f t="shared" si="2"/>
        <v>0</v>
      </c>
      <c r="J22" s="29">
        <f t="shared" si="0"/>
        <v>0</v>
      </c>
      <c r="K22" s="42" t="e">
        <f t="shared" si="1"/>
        <v>#NUM!</v>
      </c>
      <c r="L22" s="33">
        <f t="shared" si="7"/>
        <v>0</v>
      </c>
      <c r="M22" s="28" t="e">
        <f t="shared" si="3"/>
        <v>#NUM!</v>
      </c>
      <c r="N22" s="29">
        <f t="shared" ref="N22" si="12">I21*O$4*(A22-A21+1)/360</f>
        <v>0</v>
      </c>
      <c r="O22" s="30" t="e">
        <f t="shared" si="4"/>
        <v>#NUM!</v>
      </c>
      <c r="P22" s="43">
        <v>0</v>
      </c>
      <c r="Q22" s="44" t="e">
        <f>M22/H20</f>
        <v>#NUM!</v>
      </c>
      <c r="R22" s="33"/>
      <c r="S22" s="2">
        <f>N21+N22-D22</f>
        <v>0</v>
      </c>
      <c r="T22" s="7" t="e">
        <f>O22+O21</f>
        <v>#NUM!</v>
      </c>
      <c r="U22" s="7" t="e">
        <f>M21+M22</f>
        <v>#NUM!</v>
      </c>
      <c r="V22" s="45" t="e">
        <f>N22-#REF!</f>
        <v>#REF!</v>
      </c>
      <c r="W22" s="7" t="e">
        <f>J22-#REF!</f>
        <v>#REF!</v>
      </c>
      <c r="X22" s="7"/>
      <c r="Z22" s="7"/>
    </row>
    <row r="23" spans="1:26">
      <c r="A23" s="18">
        <v>41141</v>
      </c>
      <c r="B23" s="37">
        <f t="shared" si="5"/>
        <v>0</v>
      </c>
      <c r="C23" s="29"/>
      <c r="D23" s="29"/>
      <c r="E23" s="38"/>
      <c r="F23" s="39"/>
      <c r="G23" s="47"/>
      <c r="H23" s="24" t="e">
        <f>(XNPV($O$6,B23:$B$37,A23:$A$37)-B23)*((1+$O$6)^(1/365))</f>
        <v>#NUM!</v>
      </c>
      <c r="I23" s="41">
        <f t="shared" si="2"/>
        <v>0</v>
      </c>
      <c r="J23" s="29">
        <f t="shared" si="0"/>
        <v>0</v>
      </c>
      <c r="K23" s="42" t="e">
        <f t="shared" si="1"/>
        <v>#NUM!</v>
      </c>
      <c r="L23" s="33">
        <f t="shared" si="7"/>
        <v>0</v>
      </c>
      <c r="M23" s="28" t="e">
        <f t="shared" si="3"/>
        <v>#NUM!</v>
      </c>
      <c r="N23" s="29">
        <f t="shared" ref="N23" si="13">I22*O$4*(A23-A22-1)/360</f>
        <v>0</v>
      </c>
      <c r="O23" s="30" t="e">
        <f t="shared" si="4"/>
        <v>#NUM!</v>
      </c>
      <c r="P23" s="43">
        <v>0</v>
      </c>
      <c r="Q23" s="44"/>
      <c r="R23" s="33"/>
      <c r="V23" s="45" t="e">
        <f>N23-#REF!</f>
        <v>#REF!</v>
      </c>
      <c r="W23" s="7" t="e">
        <f>J23-#REF!</f>
        <v>#REF!</v>
      </c>
      <c r="X23" s="7" t="e">
        <f>ROUND((O22+O23),2)</f>
        <v>#NUM!</v>
      </c>
      <c r="Y23" s="46" t="s">
        <v>28</v>
      </c>
      <c r="Z23" s="7"/>
    </row>
    <row r="24" spans="1:26">
      <c r="A24" s="18">
        <v>41152</v>
      </c>
      <c r="B24" s="37">
        <f t="shared" si="5"/>
        <v>0</v>
      </c>
      <c r="C24" s="29"/>
      <c r="D24" s="29"/>
      <c r="E24" s="38"/>
      <c r="F24" s="39"/>
      <c r="G24" s="47"/>
      <c r="H24" s="24" t="e">
        <f>(XNPV($O$6,B24:$B$37,A24:$A$37)-B24)*((1+$O$6)^(1/365))</f>
        <v>#NUM!</v>
      </c>
      <c r="I24" s="41">
        <f t="shared" si="2"/>
        <v>0</v>
      </c>
      <c r="J24" s="29">
        <f t="shared" si="0"/>
        <v>0</v>
      </c>
      <c r="K24" s="42" t="e">
        <f t="shared" si="1"/>
        <v>#NUM!</v>
      </c>
      <c r="L24" s="33">
        <f t="shared" si="7"/>
        <v>0</v>
      </c>
      <c r="M24" s="28" t="e">
        <f t="shared" si="3"/>
        <v>#NUM!</v>
      </c>
      <c r="N24" s="29">
        <f t="shared" ref="N24" si="14">I23*O$4*(A24-A23+1)/360</f>
        <v>0</v>
      </c>
      <c r="O24" s="30" t="e">
        <f>M24-N24</f>
        <v>#NUM!</v>
      </c>
      <c r="P24" s="43">
        <v>0</v>
      </c>
      <c r="Q24" s="44" t="e">
        <f>M24/H22</f>
        <v>#NUM!</v>
      </c>
      <c r="R24" s="33"/>
      <c r="S24" s="2">
        <f>N23+N24-D24</f>
        <v>0</v>
      </c>
      <c r="T24" s="7" t="e">
        <f>O24+O23</f>
        <v>#NUM!</v>
      </c>
      <c r="U24" s="7" t="e">
        <f>M23+M24</f>
        <v>#NUM!</v>
      </c>
      <c r="V24" s="45" t="e">
        <f>N24-#REF!</f>
        <v>#REF!</v>
      </c>
      <c r="W24" s="7" t="e">
        <f>J24-#REF!</f>
        <v>#REF!</v>
      </c>
      <c r="X24" s="7"/>
      <c r="Z24" s="7"/>
    </row>
    <row r="25" spans="1:26">
      <c r="A25" s="18">
        <v>41172</v>
      </c>
      <c r="B25" s="37">
        <f t="shared" si="5"/>
        <v>0</v>
      </c>
      <c r="C25" s="29"/>
      <c r="D25" s="29"/>
      <c r="E25" s="38"/>
      <c r="F25" s="39"/>
      <c r="G25" s="47"/>
      <c r="H25" s="24" t="e">
        <f>(XNPV($O$6,B25:$B$37,A25:$A$37)-B25)*((1+$O$6)^(1/365))</f>
        <v>#NUM!</v>
      </c>
      <c r="I25" s="41">
        <f t="shared" si="2"/>
        <v>0</v>
      </c>
      <c r="J25" s="29">
        <f t="shared" si="0"/>
        <v>0</v>
      </c>
      <c r="K25" s="42" t="e">
        <f t="shared" si="1"/>
        <v>#NUM!</v>
      </c>
      <c r="L25" s="33">
        <f t="shared" si="7"/>
        <v>0</v>
      </c>
      <c r="M25" s="28" t="e">
        <f t="shared" si="3"/>
        <v>#NUM!</v>
      </c>
      <c r="N25" s="29">
        <f t="shared" ref="N25" si="15">I24*O$4*(A25-A24-1)/360</f>
        <v>0</v>
      </c>
      <c r="O25" s="30" t="e">
        <f t="shared" si="4"/>
        <v>#NUM!</v>
      </c>
      <c r="P25" s="43">
        <v>0</v>
      </c>
      <c r="Q25" s="44"/>
      <c r="R25" s="33"/>
      <c r="V25" s="45" t="e">
        <f>N25-#REF!</f>
        <v>#REF!</v>
      </c>
      <c r="W25" s="7" t="e">
        <f>J25-#REF!</f>
        <v>#REF!</v>
      </c>
      <c r="X25" s="7" t="e">
        <f>ROUND((O24+O25),2)</f>
        <v>#NUM!</v>
      </c>
      <c r="Y25" s="46" t="s">
        <v>28</v>
      </c>
      <c r="Z25" s="7"/>
    </row>
    <row r="26" spans="1:26">
      <c r="A26" s="18">
        <v>41182</v>
      </c>
      <c r="B26" s="37">
        <f t="shared" si="5"/>
        <v>0</v>
      </c>
      <c r="C26" s="29"/>
      <c r="D26" s="29"/>
      <c r="E26" s="38"/>
      <c r="F26" s="39"/>
      <c r="G26" s="47"/>
      <c r="H26" s="24" t="e">
        <f>(XNPV($O$6,B26:$B$37,A26:$A$37)-B26)*((1+$O$6)^(1/365))</f>
        <v>#NUM!</v>
      </c>
      <c r="I26" s="41">
        <f t="shared" si="2"/>
        <v>0</v>
      </c>
      <c r="J26" s="29">
        <f t="shared" si="0"/>
        <v>0</v>
      </c>
      <c r="K26" s="42" t="e">
        <f t="shared" si="1"/>
        <v>#NUM!</v>
      </c>
      <c r="L26" s="33">
        <f t="shared" si="7"/>
        <v>0</v>
      </c>
      <c r="M26" s="28" t="e">
        <f t="shared" si="3"/>
        <v>#NUM!</v>
      </c>
      <c r="N26" s="29">
        <f t="shared" ref="N26" si="16">I25*O$4*(A26-A25+1)/360</f>
        <v>0</v>
      </c>
      <c r="O26" s="30" t="e">
        <f t="shared" si="4"/>
        <v>#NUM!</v>
      </c>
      <c r="P26" s="43">
        <v>0</v>
      </c>
      <c r="Q26" s="44" t="e">
        <f>M26/H24</f>
        <v>#NUM!</v>
      </c>
      <c r="R26" s="33"/>
      <c r="S26" s="2">
        <f>N25+N26-D26</f>
        <v>0</v>
      </c>
      <c r="T26" s="7" t="e">
        <f>O26+O25</f>
        <v>#NUM!</v>
      </c>
      <c r="U26" s="7" t="e">
        <f>M25+M26</f>
        <v>#NUM!</v>
      </c>
      <c r="V26" s="45" t="e">
        <f>N26-#REF!</f>
        <v>#REF!</v>
      </c>
      <c r="W26" s="7" t="e">
        <f>J26-#REF!</f>
        <v>#REF!</v>
      </c>
      <c r="X26" s="7"/>
      <c r="Z26" s="7"/>
    </row>
    <row r="27" spans="1:26">
      <c r="A27" s="18">
        <v>41202</v>
      </c>
      <c r="B27" s="37">
        <f t="shared" si="5"/>
        <v>0</v>
      </c>
      <c r="C27" s="29"/>
      <c r="D27" s="29"/>
      <c r="E27" s="38"/>
      <c r="F27" s="39"/>
      <c r="G27" s="47"/>
      <c r="H27" s="24" t="e">
        <f>(XNPV($O$6,B27:$B$37,A27:$A$37)-B27)*((1+$O$6)^(1/365))</f>
        <v>#NUM!</v>
      </c>
      <c r="I27" s="41">
        <f t="shared" si="2"/>
        <v>0</v>
      </c>
      <c r="J27" s="29">
        <f t="shared" si="0"/>
        <v>0</v>
      </c>
      <c r="K27" s="42" t="e">
        <f t="shared" si="1"/>
        <v>#NUM!</v>
      </c>
      <c r="L27" s="33">
        <f t="shared" si="7"/>
        <v>0</v>
      </c>
      <c r="M27" s="28" t="e">
        <f t="shared" si="3"/>
        <v>#NUM!</v>
      </c>
      <c r="N27" s="29">
        <f t="shared" ref="N27" si="17">I26*O$4*(A27-A26-1)/360</f>
        <v>0</v>
      </c>
      <c r="O27" s="30" t="e">
        <f t="shared" si="4"/>
        <v>#NUM!</v>
      </c>
      <c r="P27" s="43">
        <v>0</v>
      </c>
      <c r="Q27" s="44"/>
      <c r="R27" s="33"/>
      <c r="V27" s="45" t="e">
        <f>N27-#REF!</f>
        <v>#REF!</v>
      </c>
      <c r="W27" s="7" t="e">
        <f>J27-#REF!</f>
        <v>#REF!</v>
      </c>
      <c r="X27" s="7" t="e">
        <f>ROUND((O26+O27),2)</f>
        <v>#NUM!</v>
      </c>
      <c r="Y27" s="46" t="s">
        <v>28</v>
      </c>
      <c r="Z27" s="7"/>
    </row>
    <row r="28" spans="1:26">
      <c r="A28" s="18">
        <v>41213</v>
      </c>
      <c r="B28" s="37">
        <f t="shared" si="5"/>
        <v>0</v>
      </c>
      <c r="C28" s="29"/>
      <c r="D28" s="29"/>
      <c r="E28" s="38"/>
      <c r="F28" s="39"/>
      <c r="G28" s="47"/>
      <c r="H28" s="24" t="e">
        <f>(XNPV($O$6,B28:$B$37,A28:$A$37)-B28)*((1+$O$6)^(1/365))</f>
        <v>#NUM!</v>
      </c>
      <c r="I28" s="41">
        <f t="shared" si="2"/>
        <v>0</v>
      </c>
      <c r="J28" s="29">
        <f t="shared" si="0"/>
        <v>0</v>
      </c>
      <c r="K28" s="42" t="e">
        <f t="shared" si="1"/>
        <v>#NUM!</v>
      </c>
      <c r="L28" s="33">
        <f t="shared" si="7"/>
        <v>0</v>
      </c>
      <c r="M28" s="28" t="e">
        <f t="shared" si="3"/>
        <v>#NUM!</v>
      </c>
      <c r="N28" s="29">
        <f t="shared" ref="N28" si="18">I27*O$4*(A28-A27+1)/360</f>
        <v>0</v>
      </c>
      <c r="O28" s="30" t="e">
        <f t="shared" si="4"/>
        <v>#NUM!</v>
      </c>
      <c r="P28" s="43">
        <v>0</v>
      </c>
      <c r="Q28" s="44" t="e">
        <f>M28/H26</f>
        <v>#NUM!</v>
      </c>
      <c r="R28" s="33"/>
      <c r="S28" s="2">
        <f>N27+N28-D28</f>
        <v>0</v>
      </c>
      <c r="T28" s="7" t="e">
        <f>O28+O27</f>
        <v>#NUM!</v>
      </c>
      <c r="U28" s="7" t="e">
        <f>M27+M28</f>
        <v>#NUM!</v>
      </c>
      <c r="V28" s="45" t="e">
        <f>N28-#REF!</f>
        <v>#REF!</v>
      </c>
      <c r="W28" s="7" t="e">
        <f>J28-#REF!</f>
        <v>#REF!</v>
      </c>
      <c r="X28" s="7"/>
      <c r="Z28" s="7"/>
    </row>
    <row r="29" spans="1:26">
      <c r="A29" s="18">
        <v>41233</v>
      </c>
      <c r="B29" s="37">
        <f t="shared" si="5"/>
        <v>0</v>
      </c>
      <c r="C29" s="29"/>
      <c r="D29" s="29"/>
      <c r="E29" s="38"/>
      <c r="F29" s="39"/>
      <c r="G29" s="47"/>
      <c r="H29" s="24" t="e">
        <f>(XNPV($O$6,B29:$B$37,A29:$A$37)-B29)*((1+$O$6)^(1/365))</f>
        <v>#NUM!</v>
      </c>
      <c r="I29" s="41">
        <f t="shared" si="2"/>
        <v>0</v>
      </c>
      <c r="J29" s="29">
        <f t="shared" si="0"/>
        <v>0</v>
      </c>
      <c r="K29" s="42" t="e">
        <f t="shared" si="1"/>
        <v>#NUM!</v>
      </c>
      <c r="L29" s="33">
        <f t="shared" si="7"/>
        <v>0</v>
      </c>
      <c r="M29" s="28" t="e">
        <f t="shared" si="3"/>
        <v>#NUM!</v>
      </c>
      <c r="N29" s="29">
        <f t="shared" ref="N29" si="19">I28*O$4*(A29-A28-1)/360</f>
        <v>0</v>
      </c>
      <c r="O29" s="30" t="e">
        <f t="shared" si="4"/>
        <v>#NUM!</v>
      </c>
      <c r="P29" s="43">
        <v>0</v>
      </c>
      <c r="Q29" s="44"/>
      <c r="R29" s="33"/>
      <c r="V29" s="45" t="e">
        <f>N29-#REF!</f>
        <v>#REF!</v>
      </c>
      <c r="W29" s="7" t="e">
        <f>J29-#REF!</f>
        <v>#REF!</v>
      </c>
      <c r="X29" s="7" t="e">
        <f>ROUND((O28+O29),2)</f>
        <v>#NUM!</v>
      </c>
      <c r="Y29" s="46" t="s">
        <v>28</v>
      </c>
      <c r="Z29" s="7"/>
    </row>
    <row r="30" spans="1:26">
      <c r="A30" s="18">
        <v>41243</v>
      </c>
      <c r="B30" s="37">
        <f t="shared" si="5"/>
        <v>0</v>
      </c>
      <c r="C30" s="29"/>
      <c r="D30" s="29"/>
      <c r="E30" s="38"/>
      <c r="F30" s="39"/>
      <c r="G30" s="47"/>
      <c r="H30" s="24" t="e">
        <f>(XNPV($O$6,B30:$B$37,A30:$A$37)-B30)*((1+$O$6)^(1/365))</f>
        <v>#NUM!</v>
      </c>
      <c r="I30" s="41">
        <f t="shared" si="2"/>
        <v>0</v>
      </c>
      <c r="J30" s="29">
        <f t="shared" si="0"/>
        <v>0</v>
      </c>
      <c r="K30" s="42" t="e">
        <f t="shared" si="1"/>
        <v>#NUM!</v>
      </c>
      <c r="L30" s="33">
        <f t="shared" si="7"/>
        <v>0</v>
      </c>
      <c r="M30" s="28" t="e">
        <f t="shared" si="3"/>
        <v>#NUM!</v>
      </c>
      <c r="N30" s="29">
        <f t="shared" ref="N30" si="20">I29*O$4*(A30-A29+1)/360</f>
        <v>0</v>
      </c>
      <c r="O30" s="30" t="e">
        <f t="shared" si="4"/>
        <v>#NUM!</v>
      </c>
      <c r="P30" s="43">
        <v>0</v>
      </c>
      <c r="Q30" s="44" t="e">
        <f>M30/H28</f>
        <v>#NUM!</v>
      </c>
      <c r="R30" s="33"/>
      <c r="S30" s="2">
        <f>N29+N30-D30</f>
        <v>0</v>
      </c>
      <c r="T30" s="7" t="e">
        <f>O30+O29</f>
        <v>#NUM!</v>
      </c>
      <c r="U30" s="7" t="e">
        <f>M29+M30</f>
        <v>#NUM!</v>
      </c>
      <c r="V30" s="45" t="e">
        <f>N30-#REF!</f>
        <v>#REF!</v>
      </c>
      <c r="W30" s="7" t="e">
        <f>J30-#REF!</f>
        <v>#REF!</v>
      </c>
      <c r="X30" s="7"/>
      <c r="Z30" s="7"/>
    </row>
    <row r="31" spans="1:26">
      <c r="A31" s="18">
        <v>41263</v>
      </c>
      <c r="B31" s="37">
        <f t="shared" si="5"/>
        <v>0</v>
      </c>
      <c r="C31" s="29"/>
      <c r="D31" s="29"/>
      <c r="E31" s="38"/>
      <c r="F31" s="39"/>
      <c r="G31" s="47"/>
      <c r="H31" s="24" t="e">
        <f>(XNPV($O$6,B31:$B$37,A31:$A$37)-B31)*((1+$O$6)^(1/365))</f>
        <v>#NUM!</v>
      </c>
      <c r="I31" s="41">
        <f t="shared" si="2"/>
        <v>0</v>
      </c>
      <c r="J31" s="29">
        <f t="shared" si="0"/>
        <v>0</v>
      </c>
      <c r="K31" s="42" t="e">
        <f t="shared" si="1"/>
        <v>#NUM!</v>
      </c>
      <c r="L31" s="33">
        <f t="shared" si="7"/>
        <v>0</v>
      </c>
      <c r="M31" s="28" t="e">
        <f t="shared" si="3"/>
        <v>#NUM!</v>
      </c>
      <c r="N31" s="29">
        <f t="shared" ref="N31" si="21">I30*O$4*(A31-A30-1)/360</f>
        <v>0</v>
      </c>
      <c r="O31" s="30" t="e">
        <f t="shared" si="4"/>
        <v>#NUM!</v>
      </c>
      <c r="P31" s="43">
        <v>0</v>
      </c>
      <c r="Q31" s="44"/>
      <c r="R31" s="33"/>
      <c r="V31" s="45" t="e">
        <f>N31-#REF!</f>
        <v>#REF!</v>
      </c>
      <c r="W31" s="7" t="e">
        <f>J31-#REF!</f>
        <v>#REF!</v>
      </c>
      <c r="X31" s="7" t="e">
        <f>ROUND((O30+O31),2)</f>
        <v>#NUM!</v>
      </c>
      <c r="Y31" s="46" t="s">
        <v>28</v>
      </c>
      <c r="Z31" s="7"/>
    </row>
    <row r="32" spans="1:26">
      <c r="A32" s="18">
        <v>41274</v>
      </c>
      <c r="B32" s="37">
        <f t="shared" si="5"/>
        <v>0</v>
      </c>
      <c r="C32" s="29"/>
      <c r="D32" s="29"/>
      <c r="E32" s="38"/>
      <c r="F32" s="39"/>
      <c r="G32" s="47"/>
      <c r="H32" s="24" t="e">
        <f>(XNPV($O$6,B32:$B$37,A32:$A$37)-B32)*((1+$O$6)^(1/365))</f>
        <v>#NUM!</v>
      </c>
      <c r="I32" s="41">
        <f t="shared" si="2"/>
        <v>0</v>
      </c>
      <c r="J32" s="29">
        <f t="shared" si="0"/>
        <v>0</v>
      </c>
      <c r="K32" s="42" t="e">
        <f t="shared" si="1"/>
        <v>#NUM!</v>
      </c>
      <c r="L32" s="33">
        <f t="shared" si="7"/>
        <v>0</v>
      </c>
      <c r="M32" s="28" t="e">
        <f t="shared" si="3"/>
        <v>#NUM!</v>
      </c>
      <c r="N32" s="29">
        <f t="shared" ref="N32" si="22">I31*O$4*(A32-A31+1)/360</f>
        <v>0</v>
      </c>
      <c r="O32" s="30" t="e">
        <f t="shared" si="4"/>
        <v>#NUM!</v>
      </c>
      <c r="P32" s="43">
        <v>0</v>
      </c>
      <c r="Q32" s="44" t="e">
        <f>M32/H30</f>
        <v>#NUM!</v>
      </c>
      <c r="R32" s="33"/>
      <c r="S32" s="2">
        <f>N31+N32-D32</f>
        <v>0</v>
      </c>
      <c r="T32" s="7" t="e">
        <f>O32+O31</f>
        <v>#NUM!</v>
      </c>
      <c r="U32" s="7" t="e">
        <f>M31+M32</f>
        <v>#NUM!</v>
      </c>
      <c r="V32" s="45" t="e">
        <f>N32-#REF!</f>
        <v>#REF!</v>
      </c>
      <c r="W32" s="7" t="e">
        <f>J32-#REF!</f>
        <v>#REF!</v>
      </c>
      <c r="X32" s="7"/>
      <c r="Z32" s="7"/>
    </row>
    <row r="33" spans="1:26">
      <c r="A33" s="18">
        <v>41294</v>
      </c>
      <c r="B33" s="37">
        <f t="shared" si="5"/>
        <v>0</v>
      </c>
      <c r="C33" s="29"/>
      <c r="D33" s="29"/>
      <c r="E33" s="38"/>
      <c r="F33" s="39"/>
      <c r="G33" s="47"/>
      <c r="H33" s="24" t="e">
        <f>(XNPV($O$6,B33:$B$37,A33:$A$37)-B33)*((1+$O$6)^(1/365))</f>
        <v>#NUM!</v>
      </c>
      <c r="I33" s="41">
        <f t="shared" si="2"/>
        <v>0</v>
      </c>
      <c r="J33" s="29">
        <f t="shared" si="0"/>
        <v>0</v>
      </c>
      <c r="K33" s="42" t="e">
        <f t="shared" si="1"/>
        <v>#NUM!</v>
      </c>
      <c r="L33" s="33">
        <f t="shared" si="7"/>
        <v>0</v>
      </c>
      <c r="M33" s="28" t="e">
        <f t="shared" si="3"/>
        <v>#NUM!</v>
      </c>
      <c r="N33" s="29">
        <f t="shared" ref="N33" si="23">I32*O$4*(A33-A32-1)/360</f>
        <v>0</v>
      </c>
      <c r="O33" s="30" t="e">
        <f t="shared" si="4"/>
        <v>#NUM!</v>
      </c>
      <c r="P33" s="43">
        <v>0</v>
      </c>
      <c r="Q33" s="44"/>
      <c r="R33" s="33"/>
      <c r="V33" s="45" t="e">
        <f>N33-#REF!</f>
        <v>#REF!</v>
      </c>
      <c r="W33" s="7" t="e">
        <f>J33-#REF!</f>
        <v>#REF!</v>
      </c>
      <c r="X33" s="7" t="e">
        <f>ROUND((O32+O33),2)</f>
        <v>#NUM!</v>
      </c>
      <c r="Y33" s="46" t="s">
        <v>28</v>
      </c>
      <c r="Z33" s="7"/>
    </row>
    <row r="34" spans="1:26">
      <c r="A34" s="18">
        <v>41305</v>
      </c>
      <c r="B34" s="37">
        <f t="shared" si="5"/>
        <v>0</v>
      </c>
      <c r="C34" s="29"/>
      <c r="D34" s="29"/>
      <c r="E34" s="38"/>
      <c r="F34" s="39"/>
      <c r="G34" s="47"/>
      <c r="H34" s="24" t="e">
        <f>(XNPV($O$6,B34:$B$37,A34:$A$37)-B34)*((1+$O$6)^(1/365))</f>
        <v>#NUM!</v>
      </c>
      <c r="I34" s="41">
        <f t="shared" si="2"/>
        <v>0</v>
      </c>
      <c r="J34" s="29">
        <f t="shared" si="0"/>
        <v>0</v>
      </c>
      <c r="K34" s="42" t="e">
        <f t="shared" si="1"/>
        <v>#NUM!</v>
      </c>
      <c r="L34" s="33">
        <f t="shared" si="7"/>
        <v>0</v>
      </c>
      <c r="M34" s="28" t="e">
        <f t="shared" si="3"/>
        <v>#NUM!</v>
      </c>
      <c r="N34" s="29">
        <f t="shared" ref="N34" si="24">I33*O$4*(A34-A33+1)/360</f>
        <v>0</v>
      </c>
      <c r="O34" s="30" t="e">
        <f t="shared" si="4"/>
        <v>#NUM!</v>
      </c>
      <c r="P34" s="43">
        <v>0</v>
      </c>
      <c r="Q34" s="44" t="e">
        <f>M34/H32</f>
        <v>#NUM!</v>
      </c>
      <c r="R34" s="33"/>
      <c r="S34" s="2">
        <f>N33+N34-D34</f>
        <v>0</v>
      </c>
      <c r="T34" s="7" t="e">
        <f>O34+O33</f>
        <v>#NUM!</v>
      </c>
      <c r="U34" s="7" t="e">
        <f>M33+M34</f>
        <v>#NUM!</v>
      </c>
      <c r="V34" s="45" t="e">
        <f>N34-#REF!</f>
        <v>#REF!</v>
      </c>
      <c r="W34" s="7" t="e">
        <f>J34-#REF!</f>
        <v>#REF!</v>
      </c>
      <c r="X34" s="7"/>
      <c r="Z34" s="7"/>
    </row>
    <row r="35" spans="1:26">
      <c r="A35" s="18">
        <v>41325</v>
      </c>
      <c r="B35" s="37">
        <f t="shared" si="5"/>
        <v>0</v>
      </c>
      <c r="C35" s="29"/>
      <c r="D35" s="29"/>
      <c r="E35" s="38"/>
      <c r="F35" s="39"/>
      <c r="G35" s="47"/>
      <c r="H35" s="24" t="e">
        <f>(XNPV($O$6,B35:$B$37,A35:$A$37)-B35)*((1+$O$6)^(1/365))</f>
        <v>#NUM!</v>
      </c>
      <c r="I35" s="41">
        <f t="shared" si="2"/>
        <v>0</v>
      </c>
      <c r="J35" s="29">
        <f t="shared" si="0"/>
        <v>0</v>
      </c>
      <c r="K35" s="42" t="e">
        <f t="shared" si="1"/>
        <v>#NUM!</v>
      </c>
      <c r="L35" s="33">
        <f t="shared" si="7"/>
        <v>0</v>
      </c>
      <c r="M35" s="28" t="e">
        <f t="shared" si="3"/>
        <v>#NUM!</v>
      </c>
      <c r="N35" s="29">
        <f t="shared" ref="N35" si="25">I34*O$4*(A35-A34-1)/360</f>
        <v>0</v>
      </c>
      <c r="O35" s="30" t="e">
        <f t="shared" si="4"/>
        <v>#NUM!</v>
      </c>
      <c r="P35" s="43">
        <v>0</v>
      </c>
      <c r="Q35" s="44"/>
      <c r="R35" s="33"/>
      <c r="V35" s="45" t="e">
        <f>N35-#REF!</f>
        <v>#REF!</v>
      </c>
      <c r="W35" s="7" t="e">
        <f>J35-#REF!</f>
        <v>#REF!</v>
      </c>
      <c r="X35" s="7" t="e">
        <f>ROUND((O34+O35),2)</f>
        <v>#NUM!</v>
      </c>
      <c r="Y35" s="46" t="s">
        <v>28</v>
      </c>
      <c r="Z35" s="7"/>
    </row>
    <row r="36" spans="1:26">
      <c r="A36" s="18">
        <v>41333</v>
      </c>
      <c r="B36" s="37">
        <f t="shared" si="5"/>
        <v>0</v>
      </c>
      <c r="C36" s="29"/>
      <c r="D36" s="29"/>
      <c r="E36" s="38"/>
      <c r="F36" s="39"/>
      <c r="G36" s="47"/>
      <c r="H36" s="24" t="e">
        <f>(XNPV($O$6,B36:$B$37,A36:$A$37)-B36)*((1+$O$6)^(1/365))</f>
        <v>#NUM!</v>
      </c>
      <c r="I36" s="41">
        <f t="shared" si="2"/>
        <v>0</v>
      </c>
      <c r="J36" s="29">
        <f t="shared" si="0"/>
        <v>0</v>
      </c>
      <c r="K36" s="42" t="e">
        <f t="shared" si="1"/>
        <v>#NUM!</v>
      </c>
      <c r="L36" s="33">
        <f t="shared" si="7"/>
        <v>0</v>
      </c>
      <c r="M36" s="28" t="e">
        <f t="shared" si="3"/>
        <v>#NUM!</v>
      </c>
      <c r="N36" s="29">
        <f t="shared" ref="N36" si="26">I35*O$4*(A36-A35+1)/360</f>
        <v>0</v>
      </c>
      <c r="O36" s="30" t="e">
        <f t="shared" si="4"/>
        <v>#NUM!</v>
      </c>
      <c r="P36" s="43">
        <v>0</v>
      </c>
      <c r="Q36" s="44" t="e">
        <f>M36/H34</f>
        <v>#NUM!</v>
      </c>
      <c r="R36" s="33"/>
      <c r="S36" s="2">
        <f>N35+N36-D36</f>
        <v>0</v>
      </c>
      <c r="T36" s="7" t="e">
        <f>O36+O35</f>
        <v>#NUM!</v>
      </c>
      <c r="U36" s="7" t="e">
        <f>M35+M36</f>
        <v>#NUM!</v>
      </c>
      <c r="V36" s="45" t="e">
        <f>N36-#REF!</f>
        <v>#REF!</v>
      </c>
      <c r="W36" s="7" t="e">
        <f>J36-#REF!</f>
        <v>#REF!</v>
      </c>
      <c r="X36" s="7"/>
      <c r="Z36" s="7"/>
    </row>
    <row r="37" spans="1:26" ht="15.75" thickBot="1">
      <c r="A37" s="18">
        <v>41350</v>
      </c>
      <c r="B37" s="37">
        <f t="shared" si="5"/>
        <v>0</v>
      </c>
      <c r="C37" s="29"/>
      <c r="D37" s="29"/>
      <c r="E37" s="38"/>
      <c r="F37" s="39"/>
      <c r="G37" s="47"/>
      <c r="H37" s="24" t="e">
        <f>(XNPV($O$6,B37:$B$37,A37:$A$37)-B37)*((1+$O$6)^(1/365))</f>
        <v>#NUM!</v>
      </c>
      <c r="I37" s="41">
        <f t="shared" si="2"/>
        <v>0</v>
      </c>
      <c r="J37" s="29">
        <f t="shared" si="0"/>
        <v>0</v>
      </c>
      <c r="K37" s="42" t="e">
        <f t="shared" si="1"/>
        <v>#NUM!</v>
      </c>
      <c r="L37" s="33">
        <f t="shared" si="7"/>
        <v>0</v>
      </c>
      <c r="M37" s="28" t="e">
        <f t="shared" si="3"/>
        <v>#NUM!</v>
      </c>
      <c r="N37" s="29">
        <f t="shared" ref="N37" si="27">I36*O$4*(A37-A36-1)/360</f>
        <v>0</v>
      </c>
      <c r="O37" s="30" t="e">
        <f t="shared" si="4"/>
        <v>#NUM!</v>
      </c>
      <c r="P37" s="43">
        <v>0</v>
      </c>
      <c r="Q37" s="44"/>
      <c r="R37" s="33"/>
      <c r="V37" s="45" t="e">
        <f>N37-#REF!</f>
        <v>#REF!</v>
      </c>
      <c r="W37" s="7" t="e">
        <f>J37-#REF!</f>
        <v>#REF!</v>
      </c>
      <c r="X37" s="7" t="e">
        <f>ROUND((O36+O37),2)</f>
        <v>#NUM!</v>
      </c>
      <c r="Y37" s="46" t="s">
        <v>28</v>
      </c>
      <c r="Z37" s="7"/>
    </row>
    <row r="38" spans="1:26" ht="16.5" thickTop="1" thickBot="1">
      <c r="A38" s="48" t="s">
        <v>29</v>
      </c>
      <c r="B38" s="49">
        <f>SUM(B15:B37)</f>
        <v>0</v>
      </c>
      <c r="C38" s="49">
        <f>SUM(C15:C37)</f>
        <v>0</v>
      </c>
      <c r="D38" s="49">
        <f>SUM(D15:D37)</f>
        <v>0</v>
      </c>
      <c r="E38" s="50" t="s">
        <v>30</v>
      </c>
      <c r="F38" s="51" t="s">
        <v>30</v>
      </c>
      <c r="G38" s="52"/>
      <c r="H38" s="53" t="s">
        <v>30</v>
      </c>
      <c r="I38" s="54" t="s">
        <v>30</v>
      </c>
      <c r="J38" s="55" t="s">
        <v>30</v>
      </c>
      <c r="K38" s="56" t="s">
        <v>30</v>
      </c>
      <c r="L38" s="54" t="s">
        <v>30</v>
      </c>
      <c r="M38" s="57" t="e">
        <f>SUM(M13:M37)</f>
        <v>#NUM!</v>
      </c>
      <c r="N38" s="58">
        <f>SUM(N13:N37)</f>
        <v>0</v>
      </c>
      <c r="O38" s="59" t="e">
        <f>SUM(O13:O37)</f>
        <v>#NUM!</v>
      </c>
      <c r="P38" s="60">
        <f>SUM(P16:P37)</f>
        <v>0</v>
      </c>
      <c r="Q38" s="61" t="s">
        <v>24</v>
      </c>
      <c r="R38" s="33"/>
      <c r="S38" s="62">
        <f>SUM(S13:S37)</f>
        <v>0</v>
      </c>
      <c r="X38" s="7"/>
    </row>
    <row r="39" spans="1:26">
      <c r="C39" s="7"/>
      <c r="D39" s="7"/>
      <c r="N39" s="63"/>
      <c r="O39" s="64"/>
      <c r="P39" s="65"/>
    </row>
    <row r="40" spans="1:26">
      <c r="N40" s="66"/>
      <c r="O40" s="66"/>
      <c r="P40" s="65"/>
    </row>
    <row r="41" spans="1:26">
      <c r="N41" s="66"/>
      <c r="O41" s="66"/>
      <c r="P41" s="65"/>
    </row>
    <row r="42" spans="1:26" ht="15.75" thickBot="1">
      <c r="N42" s="65"/>
      <c r="O42" s="65"/>
      <c r="P42" s="65"/>
    </row>
    <row r="43" spans="1:26" ht="15.75" thickBot="1">
      <c r="E43" s="67"/>
      <c r="G43" s="68" t="e">
        <f>#REF!-#REF!</f>
        <v>#REF!</v>
      </c>
      <c r="N43" s="65"/>
      <c r="O43" s="65"/>
      <c r="P43" s="65"/>
    </row>
    <row r="44" spans="1:26">
      <c r="G44" s="45" t="e">
        <f>ROUND(NPV(#REF!,#REF!),0)-ROUND(NPV(#REF!,#REF!),0)</f>
        <v>#REF!</v>
      </c>
    </row>
    <row r="45" spans="1:26">
      <c r="G45" s="45" t="e">
        <f>ROUND(NPV(#REF!,#REF!)-NPV(#REF!,#REF!),0)</f>
        <v>#REF!</v>
      </c>
    </row>
    <row r="46" spans="1:26">
      <c r="G46" s="45"/>
    </row>
  </sheetData>
  <mergeCells count="23">
    <mergeCell ref="Q9:Q12"/>
    <mergeCell ref="X9:Y12"/>
    <mergeCell ref="G11:G12"/>
    <mergeCell ref="H11:H12"/>
    <mergeCell ref="N11:N12"/>
    <mergeCell ref="O11:O12"/>
    <mergeCell ref="P11:P12"/>
    <mergeCell ref="N2:P2"/>
    <mergeCell ref="A9:A12"/>
    <mergeCell ref="B9:E10"/>
    <mergeCell ref="F9:F12"/>
    <mergeCell ref="H9:L10"/>
    <mergeCell ref="M9:O10"/>
    <mergeCell ref="P9:P10"/>
    <mergeCell ref="L11:L12"/>
    <mergeCell ref="I11:I12"/>
    <mergeCell ref="J11:J12"/>
    <mergeCell ref="K11:K12"/>
    <mergeCell ref="B2:D2"/>
    <mergeCell ref="H2:L2"/>
    <mergeCell ref="C11:C12"/>
    <mergeCell ref="D11:D12"/>
    <mergeCell ref="E11:E1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2:Z49"/>
  <sheetViews>
    <sheetView topLeftCell="A10" workbookViewId="0">
      <selection activeCell="J44" sqref="J44"/>
    </sheetView>
  </sheetViews>
  <sheetFormatPr defaultRowHeight="15"/>
  <cols>
    <col min="1" max="1" width="12" customWidth="1"/>
    <col min="2" max="3" width="14.7109375" customWidth="1"/>
    <col min="4" max="4" width="13.140625" customWidth="1"/>
    <col min="5" max="5" width="10" customWidth="1"/>
    <col min="6" max="6" width="9.42578125" hidden="1" customWidth="1"/>
    <col min="7" max="7" width="13.85546875" hidden="1" customWidth="1"/>
    <col min="8" max="8" width="13.5703125" customWidth="1"/>
    <col min="9" max="9" width="12.7109375" customWidth="1"/>
    <col min="10" max="10" width="13.42578125" customWidth="1"/>
    <col min="11" max="11" width="12.7109375" customWidth="1"/>
    <col min="12" max="12" width="9.28515625" hidden="1" customWidth="1"/>
    <col min="13" max="13" width="12.28515625" customWidth="1"/>
    <col min="14" max="14" width="15.42578125" customWidth="1"/>
    <col min="15" max="15" width="14.140625" customWidth="1"/>
    <col min="16" max="16" width="11.42578125" hidden="1" customWidth="1"/>
    <col min="17" max="17" width="11.28515625" hidden="1" customWidth="1"/>
    <col min="18" max="18" width="0.7109375" customWidth="1"/>
    <col min="19" max="19" width="12.140625" style="2" hidden="1" customWidth="1"/>
    <col min="20" max="21" width="0" hidden="1" customWidth="1"/>
    <col min="22" max="22" width="11.28515625" hidden="1" customWidth="1"/>
    <col min="23" max="24" width="0" hidden="1" customWidth="1"/>
    <col min="25" max="25" width="49.28515625" hidden="1" customWidth="1"/>
    <col min="26" max="26" width="9.85546875" bestFit="1" customWidth="1"/>
  </cols>
  <sheetData>
    <row r="2" spans="1:26">
      <c r="B2" s="199"/>
      <c r="C2" s="199"/>
      <c r="D2" s="199"/>
      <c r="H2" s="199"/>
      <c r="I2" s="199"/>
      <c r="J2" s="199"/>
      <c r="K2" s="199"/>
      <c r="L2" s="199"/>
      <c r="N2" s="199" t="s">
        <v>0</v>
      </c>
      <c r="O2" s="199"/>
      <c r="P2" s="199"/>
      <c r="Q2" s="1"/>
    </row>
    <row r="4" spans="1:26">
      <c r="B4" s="3"/>
      <c r="N4" s="3" t="s">
        <v>1</v>
      </c>
      <c r="O4" s="4">
        <v>0.25</v>
      </c>
    </row>
    <row r="5" spans="1:26">
      <c r="B5" s="3"/>
    </row>
    <row r="6" spans="1:26">
      <c r="B6" s="3"/>
      <c r="N6" s="3" t="s">
        <v>2</v>
      </c>
      <c r="O6" s="4"/>
      <c r="S6" s="5"/>
      <c r="T6" s="6"/>
    </row>
    <row r="7" spans="1:26">
      <c r="B7" s="3"/>
    </row>
    <row r="8" spans="1:26" ht="15.75" thickBot="1">
      <c r="C8" s="7"/>
      <c r="D8" s="7"/>
      <c r="H8" s="7"/>
      <c r="I8" s="7"/>
    </row>
    <row r="9" spans="1:26" ht="15.75" customHeight="1" thickTop="1">
      <c r="A9" s="200" t="s">
        <v>3</v>
      </c>
      <c r="B9" s="203" t="s">
        <v>4</v>
      </c>
      <c r="C9" s="204"/>
      <c r="D9" s="204"/>
      <c r="E9" s="205"/>
      <c r="F9" s="209" t="s">
        <v>5</v>
      </c>
      <c r="G9" s="8"/>
      <c r="H9" s="212" t="s">
        <v>6</v>
      </c>
      <c r="I9" s="213"/>
      <c r="J9" s="213"/>
      <c r="K9" s="213"/>
      <c r="L9" s="214"/>
      <c r="M9" s="218" t="s">
        <v>7</v>
      </c>
      <c r="N9" s="219"/>
      <c r="O9" s="220"/>
      <c r="P9" s="224" t="s">
        <v>8</v>
      </c>
      <c r="Q9" s="232" t="s">
        <v>9</v>
      </c>
      <c r="R9" s="9"/>
      <c r="X9" s="235" t="s">
        <v>10</v>
      </c>
      <c r="Y9" s="235"/>
    </row>
    <row r="10" spans="1:26">
      <c r="A10" s="201"/>
      <c r="B10" s="206"/>
      <c r="C10" s="207"/>
      <c r="D10" s="207"/>
      <c r="E10" s="208"/>
      <c r="F10" s="210"/>
      <c r="G10" s="10"/>
      <c r="H10" s="215"/>
      <c r="I10" s="216"/>
      <c r="J10" s="216"/>
      <c r="K10" s="216"/>
      <c r="L10" s="217"/>
      <c r="M10" s="221"/>
      <c r="N10" s="222"/>
      <c r="O10" s="223"/>
      <c r="P10" s="225"/>
      <c r="Q10" s="233"/>
      <c r="R10" s="9"/>
      <c r="S10" s="11"/>
      <c r="X10" s="235"/>
      <c r="Y10" s="235"/>
    </row>
    <row r="11" spans="1:26" ht="15" customHeight="1">
      <c r="A11" s="201"/>
      <c r="B11" s="12"/>
      <c r="C11" s="228" t="s">
        <v>11</v>
      </c>
      <c r="D11" s="228" t="s">
        <v>12</v>
      </c>
      <c r="E11" s="230" t="s">
        <v>13</v>
      </c>
      <c r="F11" s="210"/>
      <c r="G11" s="210" t="s">
        <v>5</v>
      </c>
      <c r="H11" s="236" t="s">
        <v>14</v>
      </c>
      <c r="I11" s="228" t="s">
        <v>11</v>
      </c>
      <c r="J11" s="228" t="s">
        <v>15</v>
      </c>
      <c r="K11" s="228" t="s">
        <v>16</v>
      </c>
      <c r="L11" s="226" t="s">
        <v>17</v>
      </c>
      <c r="M11" s="13"/>
      <c r="N11" s="228" t="s">
        <v>18</v>
      </c>
      <c r="O11" s="238" t="s">
        <v>19</v>
      </c>
      <c r="P11" s="240" t="s">
        <v>20</v>
      </c>
      <c r="Q11" s="233"/>
      <c r="R11" s="9"/>
      <c r="S11" s="14"/>
      <c r="X11" s="235"/>
      <c r="Y11" s="235"/>
    </row>
    <row r="12" spans="1:26" ht="45.75" thickBot="1">
      <c r="A12" s="202"/>
      <c r="B12" s="15" t="s">
        <v>14</v>
      </c>
      <c r="C12" s="229"/>
      <c r="D12" s="229"/>
      <c r="E12" s="231"/>
      <c r="F12" s="211"/>
      <c r="G12" s="211"/>
      <c r="H12" s="237"/>
      <c r="I12" s="229"/>
      <c r="J12" s="229"/>
      <c r="K12" s="229"/>
      <c r="L12" s="227"/>
      <c r="M12" s="16" t="s">
        <v>21</v>
      </c>
      <c r="N12" s="229"/>
      <c r="O12" s="239"/>
      <c r="P12" s="241"/>
      <c r="Q12" s="234"/>
      <c r="R12" s="17"/>
      <c r="V12" t="s">
        <v>22</v>
      </c>
      <c r="W12" t="s">
        <v>23</v>
      </c>
      <c r="X12" s="235"/>
      <c r="Y12" s="235"/>
    </row>
    <row r="13" spans="1:26" ht="16.5" thickTop="1" thickBot="1">
      <c r="A13" s="69"/>
      <c r="B13" s="70"/>
      <c r="C13" s="71"/>
      <c r="D13" s="71"/>
      <c r="E13" s="72"/>
      <c r="F13" s="73"/>
      <c r="G13" s="74"/>
      <c r="H13" s="75"/>
      <c r="I13" s="76"/>
      <c r="J13" s="71"/>
      <c r="K13" s="77"/>
      <c r="L13" s="78"/>
      <c r="M13" s="79"/>
      <c r="N13" s="107"/>
      <c r="O13" s="81"/>
      <c r="P13" s="31" t="s">
        <v>24</v>
      </c>
      <c r="Q13" s="32" t="s">
        <v>24</v>
      </c>
      <c r="R13" s="33"/>
      <c r="S13" s="2">
        <f>N12+N13-D13</f>
        <v>0</v>
      </c>
      <c r="U13" s="34"/>
      <c r="X13" s="35" t="s">
        <v>25</v>
      </c>
      <c r="Y13" s="36" t="s">
        <v>26</v>
      </c>
    </row>
    <row r="14" spans="1:26" ht="16.5" thickTop="1" thickBot="1">
      <c r="A14" s="69"/>
      <c r="B14" s="82"/>
      <c r="C14" s="80"/>
      <c r="D14" s="80"/>
      <c r="E14" s="83"/>
      <c r="F14" s="84"/>
      <c r="G14" s="85"/>
      <c r="H14" s="75"/>
      <c r="I14" s="86"/>
      <c r="J14" s="80"/>
      <c r="K14" s="87"/>
      <c r="L14" s="88"/>
      <c r="M14" s="79"/>
      <c r="N14" s="107"/>
      <c r="O14" s="81"/>
      <c r="P14" s="43">
        <v>0</v>
      </c>
      <c r="Q14" s="44"/>
      <c r="R14" s="33"/>
      <c r="T14" s="7">
        <f>O14</f>
        <v>0</v>
      </c>
      <c r="U14" s="7">
        <f>M14</f>
        <v>0</v>
      </c>
      <c r="V14" s="45" t="e">
        <f>N14+N12-#REF!</f>
        <v>#REF!</v>
      </c>
      <c r="W14" s="7" t="e">
        <f>J14-#REF!</f>
        <v>#REF!</v>
      </c>
      <c r="X14" s="7">
        <f>ROUND((O12+O14),2)</f>
        <v>0</v>
      </c>
      <c r="Y14" s="46" t="s">
        <v>27</v>
      </c>
      <c r="Z14" s="7"/>
    </row>
    <row r="15" spans="1:26" ht="16.5" thickTop="1" thickBot="1">
      <c r="A15" s="69"/>
      <c r="B15" s="82"/>
      <c r="C15" s="80"/>
      <c r="D15" s="107"/>
      <c r="E15" s="83"/>
      <c r="F15" s="84"/>
      <c r="G15" s="85"/>
      <c r="H15" s="75"/>
      <c r="I15" s="86"/>
      <c r="J15" s="80"/>
      <c r="K15" s="87"/>
      <c r="L15" s="88"/>
      <c r="M15" s="79"/>
      <c r="N15" s="107"/>
      <c r="O15" s="81"/>
      <c r="P15" s="43">
        <v>0</v>
      </c>
      <c r="Q15" s="44"/>
      <c r="R15" s="33"/>
      <c r="T15" s="7">
        <f>O15</f>
        <v>0</v>
      </c>
      <c r="U15" s="7">
        <f>M15</f>
        <v>0</v>
      </c>
      <c r="V15" s="45" t="e">
        <f>N15+N13-#REF!</f>
        <v>#REF!</v>
      </c>
      <c r="W15" s="7" t="e">
        <f>J15-#REF!</f>
        <v>#REF!</v>
      </c>
      <c r="X15" s="7">
        <f>ROUND((O13+O15),2)</f>
        <v>0</v>
      </c>
      <c r="Y15" s="46" t="s">
        <v>27</v>
      </c>
      <c r="Z15" s="7"/>
    </row>
    <row r="16" spans="1:26" ht="15.75" thickTop="1">
      <c r="A16" s="69"/>
      <c r="B16" s="82"/>
      <c r="C16" s="80"/>
      <c r="D16" s="107"/>
      <c r="E16" s="83"/>
      <c r="F16" s="84"/>
      <c r="G16" s="85"/>
      <c r="H16" s="75"/>
      <c r="I16" s="86"/>
      <c r="J16" s="80"/>
      <c r="K16" s="87"/>
      <c r="L16" s="88"/>
      <c r="M16" s="79"/>
      <c r="N16" s="107"/>
      <c r="O16" s="81"/>
      <c r="P16" s="43">
        <v>0</v>
      </c>
      <c r="Q16" s="44" t="e">
        <f>M16/H13</f>
        <v>#DIV/0!</v>
      </c>
      <c r="R16" s="33"/>
      <c r="S16" s="2">
        <f>N15+N16-D16</f>
        <v>0</v>
      </c>
      <c r="T16" s="7">
        <f>O16</f>
        <v>0</v>
      </c>
      <c r="U16" s="7">
        <f>M16</f>
        <v>0</v>
      </c>
      <c r="V16" s="45" t="e">
        <f>N16-#REF!</f>
        <v>#REF!</v>
      </c>
      <c r="W16" s="7" t="e">
        <f>J16-#REF!</f>
        <v>#REF!</v>
      </c>
      <c r="X16" s="7"/>
      <c r="Z16" s="7"/>
    </row>
    <row r="17" spans="1:26">
      <c r="A17" s="69"/>
      <c r="B17" s="82"/>
      <c r="C17" s="80"/>
      <c r="D17" s="107"/>
      <c r="E17" s="83"/>
      <c r="F17" s="84"/>
      <c r="G17" s="89"/>
      <c r="H17" s="75"/>
      <c r="I17" s="86"/>
      <c r="J17" s="80"/>
      <c r="K17" s="87"/>
      <c r="L17" s="88"/>
      <c r="M17" s="79"/>
      <c r="N17" s="107"/>
      <c r="O17" s="81"/>
      <c r="P17" s="43">
        <v>0</v>
      </c>
      <c r="Q17" s="44"/>
      <c r="R17" s="33"/>
      <c r="V17" s="45" t="e">
        <f>N17-#REF!</f>
        <v>#REF!</v>
      </c>
      <c r="W17" s="7" t="e">
        <f>J17-#REF!</f>
        <v>#REF!</v>
      </c>
      <c r="X17" s="7">
        <f>ROUND((O16+O17),2)</f>
        <v>0</v>
      </c>
      <c r="Y17" s="46" t="s">
        <v>28</v>
      </c>
      <c r="Z17" s="7"/>
    </row>
    <row r="18" spans="1:26">
      <c r="A18" s="95"/>
      <c r="B18" s="96"/>
      <c r="C18" s="97"/>
      <c r="D18" s="109"/>
      <c r="E18" s="98"/>
      <c r="F18" s="99"/>
      <c r="G18" s="100"/>
      <c r="H18" s="101"/>
      <c r="I18" s="102"/>
      <c r="J18" s="97"/>
      <c r="K18" s="103"/>
      <c r="L18" s="104"/>
      <c r="M18" s="105"/>
      <c r="N18" s="109"/>
      <c r="O18" s="106"/>
      <c r="P18" s="43"/>
      <c r="Q18" s="44"/>
      <c r="R18" s="33"/>
      <c r="V18" s="45"/>
      <c r="W18" s="7"/>
      <c r="X18" s="7"/>
      <c r="Y18" s="46"/>
      <c r="Z18" s="7"/>
    </row>
    <row r="19" spans="1:26">
      <c r="A19" s="69"/>
      <c r="B19" s="82"/>
      <c r="C19" s="80"/>
      <c r="D19" s="107"/>
      <c r="E19" s="83"/>
      <c r="F19" s="84"/>
      <c r="G19" s="89"/>
      <c r="H19" s="75"/>
      <c r="I19" s="86"/>
      <c r="J19" s="80"/>
      <c r="K19" s="87"/>
      <c r="L19" s="88"/>
      <c r="M19" s="79"/>
      <c r="N19" s="107"/>
      <c r="O19" s="81"/>
      <c r="P19" s="43"/>
      <c r="Q19" s="44"/>
      <c r="R19" s="33"/>
      <c r="V19" s="45"/>
      <c r="W19" s="7"/>
      <c r="X19" s="7"/>
      <c r="Y19" s="46"/>
      <c r="Z19" s="7"/>
    </row>
    <row r="20" spans="1:26">
      <c r="A20" s="18">
        <v>41049</v>
      </c>
      <c r="B20" s="37">
        <f t="shared" ref="B20:B40" si="0">SUM(C20:E20)</f>
        <v>24916.67</v>
      </c>
      <c r="C20" s="29">
        <v>24000</v>
      </c>
      <c r="D20" s="110">
        <v>916.67</v>
      </c>
      <c r="E20" s="38"/>
      <c r="F20" s="39"/>
      <c r="G20" s="47"/>
      <c r="H20" s="24" t="e">
        <f>(XNPV($O$6,B20:$B$40,A20:$A$40)-B20)*((1+$O$6)^(1/365))</f>
        <v>#NUM!</v>
      </c>
      <c r="I20" s="41">
        <f>I17-C20</f>
        <v>-24000</v>
      </c>
      <c r="J20" s="29">
        <f>J17+N20-D20</f>
        <v>-916.67</v>
      </c>
      <c r="K20" s="42" t="e">
        <f>K17+O20</f>
        <v>#NUM!</v>
      </c>
      <c r="L20" s="33"/>
      <c r="M20" s="28" t="e">
        <f>H20-H17+(B18+20000)</f>
        <v>#NUM!</v>
      </c>
      <c r="N20" s="108">
        <f>I17*O4/360</f>
        <v>0</v>
      </c>
      <c r="O20" s="30" t="e">
        <f t="shared" ref="O20:O40" si="1">M20-N20</f>
        <v>#NUM!</v>
      </c>
      <c r="P20" s="43"/>
      <c r="Q20" s="44"/>
      <c r="R20" s="33"/>
      <c r="V20" s="45"/>
      <c r="W20" s="7"/>
      <c r="X20" s="7"/>
      <c r="Y20" s="46"/>
      <c r="Z20" s="7"/>
    </row>
    <row r="21" spans="1:26">
      <c r="A21" s="18">
        <v>41060</v>
      </c>
      <c r="B21" s="37" t="e">
        <f t="shared" si="0"/>
        <v>#REF!</v>
      </c>
      <c r="C21" s="29" t="e">
        <f>[1]CF!D12</f>
        <v>#REF!</v>
      </c>
      <c r="D21" s="110">
        <v>0</v>
      </c>
      <c r="E21" s="38"/>
      <c r="F21" s="39"/>
      <c r="G21" s="47"/>
      <c r="H21" s="24" t="e">
        <f>(XNPV($O$6,B21:$B$40,A21:$A$40)-B21)*((1+$O$6)^(1/365))</f>
        <v>#NUM!</v>
      </c>
      <c r="I21" s="41" t="e">
        <f>I20-C21</f>
        <v>#REF!</v>
      </c>
      <c r="J21" s="29">
        <f>J20+N21-D21</f>
        <v>-1100.0033333333333</v>
      </c>
      <c r="K21" s="42" t="e">
        <f>K20+O21</f>
        <v>#NUM!</v>
      </c>
      <c r="L21" s="33">
        <f t="shared" ref="L21:L40" si="2">P21</f>
        <v>0</v>
      </c>
      <c r="M21" s="28" t="e">
        <f>H21-H20+B21</f>
        <v>#NUM!</v>
      </c>
      <c r="N21" s="110">
        <f>I20*O$4*(A21-A20)/360</f>
        <v>-183.33333333333334</v>
      </c>
      <c r="O21" s="30" t="e">
        <f t="shared" si="1"/>
        <v>#NUM!</v>
      </c>
      <c r="P21" s="43">
        <v>0</v>
      </c>
      <c r="Q21" s="44" t="e">
        <f>M21/H16</f>
        <v>#NUM!</v>
      </c>
      <c r="R21" s="33"/>
      <c r="S21" s="2">
        <f>N17+N21-D21</f>
        <v>-183.33333333333334</v>
      </c>
      <c r="T21" s="7" t="e">
        <f>O21+O17</f>
        <v>#NUM!</v>
      </c>
      <c r="U21" s="7" t="e">
        <f>M17+M21</f>
        <v>#NUM!</v>
      </c>
      <c r="V21" s="45" t="e">
        <f>N21-#REF!</f>
        <v>#REF!</v>
      </c>
      <c r="W21" s="7" t="e">
        <f>J21-#REF!</f>
        <v>#REF!</v>
      </c>
      <c r="X21" s="7"/>
      <c r="Z21" s="7"/>
    </row>
    <row r="22" spans="1:26">
      <c r="A22" s="18">
        <v>41080</v>
      </c>
      <c r="B22" s="37">
        <f t="shared" si="0"/>
        <v>-500</v>
      </c>
      <c r="C22" s="29"/>
      <c r="D22" s="29">
        <f>I20*O$4*(A22-A20-1)/360</f>
        <v>-500</v>
      </c>
      <c r="E22" s="38"/>
      <c r="F22" s="39"/>
      <c r="G22" s="47"/>
      <c r="H22" s="24" t="e">
        <f>(XNPV($O$6,B22:$B$40,A22:$A$40)-B22)*((1+$O$6)^(1/365))</f>
        <v>#NUM!</v>
      </c>
      <c r="I22" s="41" t="e">
        <f t="shared" ref="I22:I40" si="3">I21-C22</f>
        <v>#REF!</v>
      </c>
      <c r="J22" s="29" t="e">
        <f>J21+N22-D22</f>
        <v>#REF!</v>
      </c>
      <c r="K22" s="42" t="e">
        <f t="shared" ref="K22:K40" si="4">K21+O22</f>
        <v>#NUM!</v>
      </c>
      <c r="L22" s="33">
        <f t="shared" si="2"/>
        <v>0</v>
      </c>
      <c r="M22" s="28" t="e">
        <f t="shared" ref="M22:M40" si="5">H22-H21+B22</f>
        <v>#NUM!</v>
      </c>
      <c r="N22" s="110" t="e">
        <f t="shared" ref="N22" si="6">I21*O$4*(A22-A21-1)/360</f>
        <v>#REF!</v>
      </c>
      <c r="O22" s="30" t="e">
        <f t="shared" si="1"/>
        <v>#NUM!</v>
      </c>
      <c r="P22" s="43">
        <v>0</v>
      </c>
      <c r="Q22" s="44"/>
      <c r="R22" s="33"/>
      <c r="V22" s="45" t="e">
        <f>N22-#REF!</f>
        <v>#REF!</v>
      </c>
      <c r="W22" s="7" t="e">
        <f>J22-#REF!</f>
        <v>#REF!</v>
      </c>
      <c r="X22" s="7" t="e">
        <f>ROUND((O21+O22),2)</f>
        <v>#NUM!</v>
      </c>
      <c r="Y22" s="46" t="s">
        <v>28</v>
      </c>
      <c r="Z22" s="7"/>
    </row>
    <row r="23" spans="1:26">
      <c r="A23" s="18">
        <v>41090</v>
      </c>
      <c r="B23" s="37" t="e">
        <f t="shared" si="0"/>
        <v>#REF!</v>
      </c>
      <c r="C23" s="29" t="e">
        <f>[1]CF!D14</f>
        <v>#REF!</v>
      </c>
      <c r="D23" s="29">
        <v>0</v>
      </c>
      <c r="E23" s="38"/>
      <c r="F23" s="39"/>
      <c r="G23" s="47"/>
      <c r="H23" s="24" t="e">
        <f>(XNPV($O$6,B23:$B$40,A23:$A$40)-B23)*((1+$O$6)^(1/365))</f>
        <v>#NUM!</v>
      </c>
      <c r="I23" s="41" t="e">
        <f t="shared" si="3"/>
        <v>#REF!</v>
      </c>
      <c r="J23" s="29" t="e">
        <f t="shared" ref="J23:J40" si="7">J22+N23-D23</f>
        <v>#REF!</v>
      </c>
      <c r="K23" s="42" t="e">
        <f t="shared" si="4"/>
        <v>#NUM!</v>
      </c>
      <c r="L23" s="33">
        <f t="shared" si="2"/>
        <v>0</v>
      </c>
      <c r="M23" s="28" t="e">
        <f t="shared" si="5"/>
        <v>#NUM!</v>
      </c>
      <c r="N23" s="110" t="e">
        <f t="shared" ref="N23" si="8">I22*O$4*(A23-A22+1)/360</f>
        <v>#REF!</v>
      </c>
      <c r="O23" s="30" t="e">
        <f t="shared" si="1"/>
        <v>#NUM!</v>
      </c>
      <c r="P23" s="43">
        <v>0</v>
      </c>
      <c r="Q23" s="44" t="e">
        <f>M23/H21</f>
        <v>#NUM!</v>
      </c>
      <c r="R23" s="33"/>
      <c r="S23" s="2" t="e">
        <f>N22+N23-D23</f>
        <v>#REF!</v>
      </c>
      <c r="T23" s="7" t="e">
        <f>O23+O22</f>
        <v>#NUM!</v>
      </c>
      <c r="U23" s="7" t="e">
        <f>M22+M23</f>
        <v>#NUM!</v>
      </c>
      <c r="V23" s="45" t="e">
        <f>N23-#REF!</f>
        <v>#REF!</v>
      </c>
      <c r="W23" s="7" t="e">
        <f>J23-#REF!</f>
        <v>#REF!</v>
      </c>
      <c r="X23" s="7"/>
      <c r="Z23" s="7"/>
    </row>
    <row r="24" spans="1:26">
      <c r="A24" s="18">
        <v>41110</v>
      </c>
      <c r="B24" s="37" t="e">
        <f t="shared" si="0"/>
        <v>#REF!</v>
      </c>
      <c r="C24" s="29"/>
      <c r="D24" s="29" t="e">
        <f>I22*O$4*(A24-A22)/360</f>
        <v>#REF!</v>
      </c>
      <c r="E24" s="38"/>
      <c r="F24" s="39"/>
      <c r="G24" s="47"/>
      <c r="H24" s="24" t="e">
        <f>(XNPV($O$6,B24:$B$40,A24:$A$40)-B24)*((1+$O$6)^(1/365))</f>
        <v>#NUM!</v>
      </c>
      <c r="I24" s="41" t="e">
        <f t="shared" si="3"/>
        <v>#REF!</v>
      </c>
      <c r="J24" s="29" t="e">
        <f t="shared" si="7"/>
        <v>#REF!</v>
      </c>
      <c r="K24" s="42" t="e">
        <f t="shared" si="4"/>
        <v>#NUM!</v>
      </c>
      <c r="L24" s="33">
        <f t="shared" si="2"/>
        <v>0</v>
      </c>
      <c r="M24" s="28" t="e">
        <f t="shared" si="5"/>
        <v>#NUM!</v>
      </c>
      <c r="N24" s="110" t="e">
        <f t="shared" ref="N24" si="9">I23*O$4*(A24-A23-1)/360</f>
        <v>#REF!</v>
      </c>
      <c r="O24" s="30" t="e">
        <f t="shared" si="1"/>
        <v>#NUM!</v>
      </c>
      <c r="P24" s="43">
        <v>0</v>
      </c>
      <c r="Q24" s="44"/>
      <c r="R24" s="33"/>
      <c r="V24" s="45" t="e">
        <f>N24-#REF!</f>
        <v>#REF!</v>
      </c>
      <c r="W24" s="7" t="e">
        <f>J24-#REF!</f>
        <v>#REF!</v>
      </c>
      <c r="X24" s="7" t="e">
        <f>ROUND((O23+O24),2)</f>
        <v>#NUM!</v>
      </c>
      <c r="Y24" s="46" t="s">
        <v>28</v>
      </c>
      <c r="Z24" s="7"/>
    </row>
    <row r="25" spans="1:26">
      <c r="A25" s="18">
        <v>41121</v>
      </c>
      <c r="B25" s="37" t="e">
        <f t="shared" si="0"/>
        <v>#REF!</v>
      </c>
      <c r="C25" s="29" t="e">
        <f>[1]CF!D16</f>
        <v>#REF!</v>
      </c>
      <c r="D25" s="29">
        <v>0</v>
      </c>
      <c r="E25" s="38"/>
      <c r="F25" s="39"/>
      <c r="G25" s="47"/>
      <c r="H25" s="24" t="e">
        <f>(XNPV($O$6,B25:$B$40,A25:$A$40)-B25)*((1+$O$6)^(1/365))</f>
        <v>#NUM!</v>
      </c>
      <c r="I25" s="41" t="e">
        <f t="shared" si="3"/>
        <v>#REF!</v>
      </c>
      <c r="J25" s="29" t="e">
        <f t="shared" si="7"/>
        <v>#REF!</v>
      </c>
      <c r="K25" s="42" t="e">
        <f t="shared" si="4"/>
        <v>#NUM!</v>
      </c>
      <c r="L25" s="33">
        <f t="shared" si="2"/>
        <v>0</v>
      </c>
      <c r="M25" s="28" t="e">
        <f t="shared" si="5"/>
        <v>#NUM!</v>
      </c>
      <c r="N25" s="29" t="e">
        <f t="shared" ref="N25" si="10">I24*O$4*(A25-A24+1)/360</f>
        <v>#REF!</v>
      </c>
      <c r="O25" s="30" t="e">
        <f t="shared" si="1"/>
        <v>#NUM!</v>
      </c>
      <c r="P25" s="43">
        <v>0</v>
      </c>
      <c r="Q25" s="44" t="e">
        <f>M25/H23</f>
        <v>#NUM!</v>
      </c>
      <c r="R25" s="33"/>
      <c r="S25" s="2" t="e">
        <f>N24+N25-D25</f>
        <v>#REF!</v>
      </c>
      <c r="T25" s="7" t="e">
        <f>O25+O24</f>
        <v>#NUM!</v>
      </c>
      <c r="U25" s="7" t="e">
        <f>M24+M25</f>
        <v>#NUM!</v>
      </c>
      <c r="V25" s="45" t="e">
        <f>N25-#REF!</f>
        <v>#REF!</v>
      </c>
      <c r="W25" s="7" t="e">
        <f>J25-#REF!</f>
        <v>#REF!</v>
      </c>
      <c r="X25" s="7"/>
      <c r="Z25" s="7"/>
    </row>
    <row r="26" spans="1:26">
      <c r="A26" s="18">
        <v>41141</v>
      </c>
      <c r="B26" s="37" t="e">
        <f t="shared" si="0"/>
        <v>#REF!</v>
      </c>
      <c r="C26" s="29"/>
      <c r="D26" s="29" t="e">
        <f>I24*O$4*(A26-A24)/360</f>
        <v>#REF!</v>
      </c>
      <c r="E26" s="38"/>
      <c r="F26" s="39"/>
      <c r="G26" s="47"/>
      <c r="H26" s="24" t="e">
        <f>(XNPV($O$6,B26:$B$40,A26:$A$40)-B26)*((1+$O$6)^(1/365))</f>
        <v>#NUM!</v>
      </c>
      <c r="I26" s="41" t="e">
        <f t="shared" si="3"/>
        <v>#REF!</v>
      </c>
      <c r="J26" s="29" t="e">
        <f t="shared" si="7"/>
        <v>#REF!</v>
      </c>
      <c r="K26" s="42" t="e">
        <f t="shared" si="4"/>
        <v>#NUM!</v>
      </c>
      <c r="L26" s="33">
        <f t="shared" si="2"/>
        <v>0</v>
      </c>
      <c r="M26" s="28" t="e">
        <f t="shared" si="5"/>
        <v>#NUM!</v>
      </c>
      <c r="N26" s="29" t="e">
        <f t="shared" ref="N26" si="11">I25*O$4*(A26-A25-1)/360</f>
        <v>#REF!</v>
      </c>
      <c r="O26" s="30" t="e">
        <f t="shared" si="1"/>
        <v>#NUM!</v>
      </c>
      <c r="P26" s="43">
        <v>0</v>
      </c>
      <c r="Q26" s="44"/>
      <c r="R26" s="33"/>
      <c r="V26" s="45" t="e">
        <f>N26-#REF!</f>
        <v>#REF!</v>
      </c>
      <c r="W26" s="7" t="e">
        <f>J26-#REF!</f>
        <v>#REF!</v>
      </c>
      <c r="X26" s="7" t="e">
        <f>ROUND((O25+O26),2)</f>
        <v>#NUM!</v>
      </c>
      <c r="Y26" s="46" t="s">
        <v>28</v>
      </c>
      <c r="Z26" s="7"/>
    </row>
    <row r="27" spans="1:26">
      <c r="A27" s="18">
        <v>41152</v>
      </c>
      <c r="B27" s="37" t="e">
        <f t="shared" si="0"/>
        <v>#REF!</v>
      </c>
      <c r="C27" s="29" t="e">
        <f>[1]CF!D18</f>
        <v>#REF!</v>
      </c>
      <c r="D27" s="29">
        <v>0</v>
      </c>
      <c r="E27" s="38"/>
      <c r="F27" s="39"/>
      <c r="G27" s="47"/>
      <c r="H27" s="24" t="e">
        <f>(XNPV($O$6,B27:$B$40,A27:$A$40)-B27)*((1+$O$6)^(1/365))</f>
        <v>#NUM!</v>
      </c>
      <c r="I27" s="41" t="e">
        <f t="shared" si="3"/>
        <v>#REF!</v>
      </c>
      <c r="J27" s="29" t="e">
        <f t="shared" si="7"/>
        <v>#REF!</v>
      </c>
      <c r="K27" s="42" t="e">
        <f t="shared" si="4"/>
        <v>#NUM!</v>
      </c>
      <c r="L27" s="33">
        <f t="shared" si="2"/>
        <v>0</v>
      </c>
      <c r="M27" s="28" t="e">
        <f t="shared" si="5"/>
        <v>#NUM!</v>
      </c>
      <c r="N27" s="29" t="e">
        <f t="shared" ref="N27" si="12">I26*O$4*(A27-A26+1)/360</f>
        <v>#REF!</v>
      </c>
      <c r="O27" s="30" t="e">
        <f>M27-N27</f>
        <v>#NUM!</v>
      </c>
      <c r="P27" s="43">
        <v>0</v>
      </c>
      <c r="Q27" s="44" t="e">
        <f>M27/H25</f>
        <v>#NUM!</v>
      </c>
      <c r="R27" s="33"/>
      <c r="S27" s="2" t="e">
        <f>N26+N27-D27</f>
        <v>#REF!</v>
      </c>
      <c r="T27" s="7" t="e">
        <f>O27+O26</f>
        <v>#NUM!</v>
      </c>
      <c r="U27" s="7" t="e">
        <f>M26+M27</f>
        <v>#NUM!</v>
      </c>
      <c r="V27" s="45" t="e">
        <f>N27-#REF!</f>
        <v>#REF!</v>
      </c>
      <c r="W27" s="7" t="e">
        <f>J27-#REF!</f>
        <v>#REF!</v>
      </c>
      <c r="X27" s="7"/>
      <c r="Z27" s="7"/>
    </row>
    <row r="28" spans="1:26">
      <c r="A28" s="18">
        <v>41172</v>
      </c>
      <c r="B28" s="37" t="e">
        <f t="shared" si="0"/>
        <v>#REF!</v>
      </c>
      <c r="C28" s="29"/>
      <c r="D28" s="29" t="e">
        <f>I26*O$4*(A28-A26)/360</f>
        <v>#REF!</v>
      </c>
      <c r="E28" s="38"/>
      <c r="F28" s="39"/>
      <c r="G28" s="47"/>
      <c r="H28" s="24" t="e">
        <f>(XNPV($O$6,B28:$B$40,A28:$A$40)-B28)*((1+$O$6)^(1/365))</f>
        <v>#NUM!</v>
      </c>
      <c r="I28" s="41" t="e">
        <f t="shared" si="3"/>
        <v>#REF!</v>
      </c>
      <c r="J28" s="29" t="e">
        <f t="shared" si="7"/>
        <v>#REF!</v>
      </c>
      <c r="K28" s="42" t="e">
        <f t="shared" si="4"/>
        <v>#NUM!</v>
      </c>
      <c r="L28" s="33">
        <f t="shared" si="2"/>
        <v>0</v>
      </c>
      <c r="M28" s="28" t="e">
        <f t="shared" si="5"/>
        <v>#NUM!</v>
      </c>
      <c r="N28" s="29" t="e">
        <f t="shared" ref="N28" si="13">I27*O$4*(A28-A27-1)/360</f>
        <v>#REF!</v>
      </c>
      <c r="O28" s="30" t="e">
        <f t="shared" si="1"/>
        <v>#NUM!</v>
      </c>
      <c r="P28" s="43">
        <v>0</v>
      </c>
      <c r="Q28" s="44"/>
      <c r="R28" s="33"/>
      <c r="V28" s="45" t="e">
        <f>N28-#REF!</f>
        <v>#REF!</v>
      </c>
      <c r="W28" s="7" t="e">
        <f>J28-#REF!</f>
        <v>#REF!</v>
      </c>
      <c r="X28" s="7" t="e">
        <f>ROUND((O27+O28),2)</f>
        <v>#NUM!</v>
      </c>
      <c r="Y28" s="46" t="s">
        <v>28</v>
      </c>
      <c r="Z28" s="7"/>
    </row>
    <row r="29" spans="1:26">
      <c r="A29" s="18">
        <v>41182</v>
      </c>
      <c r="B29" s="37" t="e">
        <f t="shared" si="0"/>
        <v>#REF!</v>
      </c>
      <c r="C29" s="29" t="e">
        <f>[1]CF!D20</f>
        <v>#REF!</v>
      </c>
      <c r="D29" s="29">
        <v>0</v>
      </c>
      <c r="E29" s="38"/>
      <c r="F29" s="39"/>
      <c r="G29" s="47"/>
      <c r="H29" s="24" t="e">
        <f>(XNPV($O$6,B29:$B$40,A29:$A$40)-B29)*((1+$O$6)^(1/365))</f>
        <v>#NUM!</v>
      </c>
      <c r="I29" s="41" t="e">
        <f t="shared" si="3"/>
        <v>#REF!</v>
      </c>
      <c r="J29" s="29" t="e">
        <f t="shared" si="7"/>
        <v>#REF!</v>
      </c>
      <c r="K29" s="42" t="e">
        <f t="shared" si="4"/>
        <v>#NUM!</v>
      </c>
      <c r="L29" s="33">
        <f t="shared" si="2"/>
        <v>0</v>
      </c>
      <c r="M29" s="28" t="e">
        <f t="shared" si="5"/>
        <v>#NUM!</v>
      </c>
      <c r="N29" s="29" t="e">
        <f t="shared" ref="N29" si="14">I28*O$4*(A29-A28+1)/360</f>
        <v>#REF!</v>
      </c>
      <c r="O29" s="30" t="e">
        <f t="shared" si="1"/>
        <v>#NUM!</v>
      </c>
      <c r="P29" s="43">
        <v>0</v>
      </c>
      <c r="Q29" s="44" t="e">
        <f>M29/H27</f>
        <v>#NUM!</v>
      </c>
      <c r="R29" s="33"/>
      <c r="S29" s="2" t="e">
        <f>N28+N29-D29</f>
        <v>#REF!</v>
      </c>
      <c r="T29" s="7" t="e">
        <f>O29+O28</f>
        <v>#NUM!</v>
      </c>
      <c r="U29" s="7" t="e">
        <f>M28+M29</f>
        <v>#NUM!</v>
      </c>
      <c r="V29" s="45" t="e">
        <f>N29-#REF!</f>
        <v>#REF!</v>
      </c>
      <c r="W29" s="7" t="e">
        <f>J29-#REF!</f>
        <v>#REF!</v>
      </c>
      <c r="X29" s="7"/>
      <c r="Z29" s="7"/>
    </row>
    <row r="30" spans="1:26">
      <c r="A30" s="18">
        <v>41202</v>
      </c>
      <c r="B30" s="37" t="e">
        <f t="shared" si="0"/>
        <v>#REF!</v>
      </c>
      <c r="C30" s="29"/>
      <c r="D30" s="29" t="e">
        <f>I28*O$4*(A30-A28)/360</f>
        <v>#REF!</v>
      </c>
      <c r="E30" s="38"/>
      <c r="F30" s="39"/>
      <c r="G30" s="47"/>
      <c r="H30" s="24" t="e">
        <f>(XNPV($O$6,B30:$B$40,A30:$A$40)-B30)*((1+$O$6)^(1/365))</f>
        <v>#NUM!</v>
      </c>
      <c r="I30" s="41" t="e">
        <f t="shared" si="3"/>
        <v>#REF!</v>
      </c>
      <c r="J30" s="29" t="e">
        <f t="shared" si="7"/>
        <v>#REF!</v>
      </c>
      <c r="K30" s="42" t="e">
        <f t="shared" si="4"/>
        <v>#NUM!</v>
      </c>
      <c r="L30" s="33">
        <f t="shared" si="2"/>
        <v>0</v>
      </c>
      <c r="M30" s="28" t="e">
        <f t="shared" si="5"/>
        <v>#NUM!</v>
      </c>
      <c r="N30" s="29" t="e">
        <f t="shared" ref="N30" si="15">I29*O$4*(A30-A29-1)/360</f>
        <v>#REF!</v>
      </c>
      <c r="O30" s="30" t="e">
        <f t="shared" si="1"/>
        <v>#NUM!</v>
      </c>
      <c r="P30" s="43">
        <v>0</v>
      </c>
      <c r="Q30" s="44"/>
      <c r="R30" s="33"/>
      <c r="V30" s="45" t="e">
        <f>N30-#REF!</f>
        <v>#REF!</v>
      </c>
      <c r="W30" s="7" t="e">
        <f>J30-#REF!</f>
        <v>#REF!</v>
      </c>
      <c r="X30" s="7" t="e">
        <f>ROUND((O29+O30),2)</f>
        <v>#NUM!</v>
      </c>
      <c r="Y30" s="46" t="s">
        <v>28</v>
      </c>
      <c r="Z30" s="7"/>
    </row>
    <row r="31" spans="1:26">
      <c r="A31" s="18">
        <v>41213</v>
      </c>
      <c r="B31" s="37" t="e">
        <f t="shared" si="0"/>
        <v>#REF!</v>
      </c>
      <c r="C31" s="29" t="e">
        <f>[1]CF!D22</f>
        <v>#REF!</v>
      </c>
      <c r="D31" s="29">
        <v>0</v>
      </c>
      <c r="E31" s="38"/>
      <c r="F31" s="39"/>
      <c r="G31" s="47"/>
      <c r="H31" s="24" t="e">
        <f>(XNPV($O$6,B31:$B$40,A31:$A$40)-B31)*((1+$O$6)^(1/365))</f>
        <v>#NUM!</v>
      </c>
      <c r="I31" s="41" t="e">
        <f t="shared" si="3"/>
        <v>#REF!</v>
      </c>
      <c r="J31" s="29" t="e">
        <f t="shared" si="7"/>
        <v>#REF!</v>
      </c>
      <c r="K31" s="42" t="e">
        <f t="shared" si="4"/>
        <v>#NUM!</v>
      </c>
      <c r="L31" s="33">
        <f t="shared" si="2"/>
        <v>0</v>
      </c>
      <c r="M31" s="28" t="e">
        <f t="shared" si="5"/>
        <v>#NUM!</v>
      </c>
      <c r="N31" s="29" t="e">
        <f t="shared" ref="N31" si="16">I30*O$4*(A31-A30+1)/360</f>
        <v>#REF!</v>
      </c>
      <c r="O31" s="30" t="e">
        <f t="shared" si="1"/>
        <v>#NUM!</v>
      </c>
      <c r="P31" s="43">
        <v>0</v>
      </c>
      <c r="Q31" s="44" t="e">
        <f>M31/H29</f>
        <v>#NUM!</v>
      </c>
      <c r="R31" s="33"/>
      <c r="S31" s="2" t="e">
        <f>N30+N31-D31</f>
        <v>#REF!</v>
      </c>
      <c r="T31" s="7" t="e">
        <f>O31+O30</f>
        <v>#NUM!</v>
      </c>
      <c r="U31" s="7" t="e">
        <f>M30+M31</f>
        <v>#NUM!</v>
      </c>
      <c r="V31" s="45" t="e">
        <f>N31-#REF!</f>
        <v>#REF!</v>
      </c>
      <c r="W31" s="7" t="e">
        <f>J31-#REF!</f>
        <v>#REF!</v>
      </c>
      <c r="X31" s="7"/>
      <c r="Z31" s="7"/>
    </row>
    <row r="32" spans="1:26">
      <c r="A32" s="18">
        <v>41233</v>
      </c>
      <c r="B32" s="37" t="e">
        <f t="shared" si="0"/>
        <v>#REF!</v>
      </c>
      <c r="C32" s="29">
        <v>4000</v>
      </c>
      <c r="D32" s="29" t="e">
        <f>I30*O$4*(A32-A30)/360</f>
        <v>#REF!</v>
      </c>
      <c r="E32" s="38"/>
      <c r="F32" s="39"/>
      <c r="G32" s="47"/>
      <c r="H32" s="24" t="e">
        <f>(XNPV($O$6,B32:$B$40,A32:$A$40)-B32)*((1+$O$6)^(1/365))</f>
        <v>#NUM!</v>
      </c>
      <c r="I32" s="41" t="e">
        <f t="shared" si="3"/>
        <v>#REF!</v>
      </c>
      <c r="J32" s="29" t="e">
        <f t="shared" si="7"/>
        <v>#REF!</v>
      </c>
      <c r="K32" s="42" t="e">
        <f t="shared" si="4"/>
        <v>#NUM!</v>
      </c>
      <c r="L32" s="33">
        <f t="shared" si="2"/>
        <v>0</v>
      </c>
      <c r="M32" s="28" t="e">
        <f t="shared" si="5"/>
        <v>#NUM!</v>
      </c>
      <c r="N32" s="29" t="e">
        <f t="shared" ref="N32" si="17">I31*O$4*(A32-A31-1)/360</f>
        <v>#REF!</v>
      </c>
      <c r="O32" s="30" t="e">
        <f t="shared" si="1"/>
        <v>#NUM!</v>
      </c>
      <c r="P32" s="43">
        <v>0</v>
      </c>
      <c r="Q32" s="44"/>
      <c r="R32" s="33"/>
      <c r="V32" s="45" t="e">
        <f>N32-#REF!</f>
        <v>#REF!</v>
      </c>
      <c r="W32" s="7" t="e">
        <f>J32-#REF!</f>
        <v>#REF!</v>
      </c>
      <c r="X32" s="7" t="e">
        <f>ROUND((O31+O32),2)</f>
        <v>#NUM!</v>
      </c>
      <c r="Y32" s="46" t="s">
        <v>28</v>
      </c>
      <c r="Z32" s="7"/>
    </row>
    <row r="33" spans="1:26">
      <c r="A33" s="18">
        <v>41243</v>
      </c>
      <c r="B33" s="37" t="e">
        <f t="shared" si="0"/>
        <v>#REF!</v>
      </c>
      <c r="C33" s="29" t="e">
        <f>[1]CF!D24</f>
        <v>#REF!</v>
      </c>
      <c r="D33" s="29">
        <v>0</v>
      </c>
      <c r="E33" s="38"/>
      <c r="F33" s="39"/>
      <c r="G33" s="47"/>
      <c r="H33" s="24" t="e">
        <f>(XNPV($O$6,B33:$B$40,A33:$A$40)-B33)*((1+$O$6)^(1/365))</f>
        <v>#NUM!</v>
      </c>
      <c r="I33" s="41" t="e">
        <f t="shared" si="3"/>
        <v>#REF!</v>
      </c>
      <c r="J33" s="29" t="e">
        <f t="shared" si="7"/>
        <v>#REF!</v>
      </c>
      <c r="K33" s="42" t="e">
        <f t="shared" si="4"/>
        <v>#NUM!</v>
      </c>
      <c r="L33" s="33">
        <f t="shared" si="2"/>
        <v>0</v>
      </c>
      <c r="M33" s="28" t="e">
        <f t="shared" si="5"/>
        <v>#NUM!</v>
      </c>
      <c r="N33" s="29" t="e">
        <f t="shared" ref="N33" si="18">I32*O$4*(A33-A32+1)/360</f>
        <v>#REF!</v>
      </c>
      <c r="O33" s="30" t="e">
        <f t="shared" si="1"/>
        <v>#NUM!</v>
      </c>
      <c r="P33" s="43">
        <v>0</v>
      </c>
      <c r="Q33" s="44" t="e">
        <f>M33/H31</f>
        <v>#NUM!</v>
      </c>
      <c r="R33" s="33"/>
      <c r="S33" s="2" t="e">
        <f>N32+N33-D33</f>
        <v>#REF!</v>
      </c>
      <c r="T33" s="7" t="e">
        <f>O33+O32</f>
        <v>#NUM!</v>
      </c>
      <c r="U33" s="7" t="e">
        <f>M32+M33</f>
        <v>#NUM!</v>
      </c>
      <c r="V33" s="45" t="e">
        <f>N33-#REF!</f>
        <v>#REF!</v>
      </c>
      <c r="W33" s="7" t="e">
        <f>J33-#REF!</f>
        <v>#REF!</v>
      </c>
      <c r="X33" s="7"/>
      <c r="Z33" s="7"/>
    </row>
    <row r="34" spans="1:26">
      <c r="A34" s="18">
        <v>41263</v>
      </c>
      <c r="B34" s="37" t="e">
        <f t="shared" si="0"/>
        <v>#REF!</v>
      </c>
      <c r="C34" s="29">
        <v>4000</v>
      </c>
      <c r="D34" s="29" t="e">
        <f>I32*O$4*(A34-A32)/360</f>
        <v>#REF!</v>
      </c>
      <c r="E34" s="38"/>
      <c r="F34" s="39"/>
      <c r="G34" s="47"/>
      <c r="H34" s="24" t="e">
        <f>(XNPV($O$6,B34:$B$40,A34:$A$40)-B34)*((1+$O$6)^(1/365))</f>
        <v>#NUM!</v>
      </c>
      <c r="I34" s="41" t="e">
        <f t="shared" si="3"/>
        <v>#REF!</v>
      </c>
      <c r="J34" s="29" t="e">
        <f t="shared" si="7"/>
        <v>#REF!</v>
      </c>
      <c r="K34" s="42" t="e">
        <f t="shared" si="4"/>
        <v>#NUM!</v>
      </c>
      <c r="L34" s="33">
        <f t="shared" si="2"/>
        <v>0</v>
      </c>
      <c r="M34" s="28" t="e">
        <f t="shared" si="5"/>
        <v>#NUM!</v>
      </c>
      <c r="N34" s="29" t="e">
        <f t="shared" ref="N34" si="19">I33*O$4*(A34-A33-1)/360</f>
        <v>#REF!</v>
      </c>
      <c r="O34" s="30" t="e">
        <f t="shared" si="1"/>
        <v>#NUM!</v>
      </c>
      <c r="P34" s="43">
        <v>0</v>
      </c>
      <c r="Q34" s="44"/>
      <c r="R34" s="33"/>
      <c r="V34" s="45" t="e">
        <f>N34-#REF!</f>
        <v>#REF!</v>
      </c>
      <c r="W34" s="7" t="e">
        <f>J34-#REF!</f>
        <v>#REF!</v>
      </c>
      <c r="X34" s="7" t="e">
        <f>ROUND((O33+O34),2)</f>
        <v>#NUM!</v>
      </c>
      <c r="Y34" s="46" t="s">
        <v>28</v>
      </c>
      <c r="Z34" s="7"/>
    </row>
    <row r="35" spans="1:26">
      <c r="A35" s="18">
        <v>41274</v>
      </c>
      <c r="B35" s="37" t="e">
        <f t="shared" si="0"/>
        <v>#REF!</v>
      </c>
      <c r="C35" s="29" t="e">
        <f>[1]CF!D26</f>
        <v>#REF!</v>
      </c>
      <c r="D35" s="29">
        <v>0</v>
      </c>
      <c r="E35" s="38"/>
      <c r="F35" s="39"/>
      <c r="G35" s="47"/>
      <c r="H35" s="24" t="e">
        <f>(XNPV($O$6,B35:$B$40,A35:$A$40)-B35)*((1+$O$6)^(1/365))</f>
        <v>#NUM!</v>
      </c>
      <c r="I35" s="41" t="e">
        <f t="shared" si="3"/>
        <v>#REF!</v>
      </c>
      <c r="J35" s="29" t="e">
        <f t="shared" si="7"/>
        <v>#REF!</v>
      </c>
      <c r="K35" s="42" t="e">
        <f t="shared" si="4"/>
        <v>#NUM!</v>
      </c>
      <c r="L35" s="33">
        <f t="shared" si="2"/>
        <v>0</v>
      </c>
      <c r="M35" s="28" t="e">
        <f t="shared" si="5"/>
        <v>#NUM!</v>
      </c>
      <c r="N35" s="29" t="e">
        <f t="shared" ref="N35" si="20">I34*O$4*(A35-A34+1)/360</f>
        <v>#REF!</v>
      </c>
      <c r="O35" s="30" t="e">
        <f t="shared" si="1"/>
        <v>#NUM!</v>
      </c>
      <c r="P35" s="43">
        <v>0</v>
      </c>
      <c r="Q35" s="44" t="e">
        <f>M35/H33</f>
        <v>#NUM!</v>
      </c>
      <c r="R35" s="33"/>
      <c r="S35" s="2" t="e">
        <f>N34+N35-D35</f>
        <v>#REF!</v>
      </c>
      <c r="T35" s="7" t="e">
        <f>O35+O34</f>
        <v>#NUM!</v>
      </c>
      <c r="U35" s="7" t="e">
        <f>M34+M35</f>
        <v>#NUM!</v>
      </c>
      <c r="V35" s="45" t="e">
        <f>N35-#REF!</f>
        <v>#REF!</v>
      </c>
      <c r="W35" s="7" t="e">
        <f>J35-#REF!</f>
        <v>#REF!</v>
      </c>
      <c r="X35" s="7"/>
      <c r="Z35" s="7"/>
    </row>
    <row r="36" spans="1:26">
      <c r="A36" s="18">
        <v>41294</v>
      </c>
      <c r="B36" s="37" t="e">
        <f t="shared" si="0"/>
        <v>#REF!</v>
      </c>
      <c r="C36" s="29">
        <v>4000</v>
      </c>
      <c r="D36" s="29" t="e">
        <f>I34*O$4*(A36-A34)/360</f>
        <v>#REF!</v>
      </c>
      <c r="E36" s="38"/>
      <c r="F36" s="39"/>
      <c r="G36" s="47"/>
      <c r="H36" s="24" t="e">
        <f>(XNPV($O$6,B36:$B$40,A36:$A$40)-B36)*((1+$O$6)^(1/365))</f>
        <v>#NUM!</v>
      </c>
      <c r="I36" s="41" t="e">
        <f t="shared" si="3"/>
        <v>#REF!</v>
      </c>
      <c r="J36" s="29" t="e">
        <f t="shared" si="7"/>
        <v>#REF!</v>
      </c>
      <c r="K36" s="42" t="e">
        <f t="shared" si="4"/>
        <v>#NUM!</v>
      </c>
      <c r="L36" s="33">
        <f t="shared" si="2"/>
        <v>0</v>
      </c>
      <c r="M36" s="28" t="e">
        <f t="shared" si="5"/>
        <v>#NUM!</v>
      </c>
      <c r="N36" s="29" t="e">
        <f t="shared" ref="N36" si="21">I35*O$4*(A36-A35-1)/360</f>
        <v>#REF!</v>
      </c>
      <c r="O36" s="30" t="e">
        <f t="shared" si="1"/>
        <v>#NUM!</v>
      </c>
      <c r="P36" s="43">
        <v>0</v>
      </c>
      <c r="Q36" s="44"/>
      <c r="R36" s="33"/>
      <c r="V36" s="45" t="e">
        <f>N36-#REF!</f>
        <v>#REF!</v>
      </c>
      <c r="W36" s="7" t="e">
        <f>J36-#REF!</f>
        <v>#REF!</v>
      </c>
      <c r="X36" s="7" t="e">
        <f>ROUND((O35+O36),2)</f>
        <v>#NUM!</v>
      </c>
      <c r="Y36" s="46" t="s">
        <v>28</v>
      </c>
      <c r="Z36" s="7"/>
    </row>
    <row r="37" spans="1:26">
      <c r="A37" s="18">
        <v>41305</v>
      </c>
      <c r="B37" s="37" t="e">
        <f t="shared" si="0"/>
        <v>#REF!</v>
      </c>
      <c r="C37" s="29" t="e">
        <f>[1]CF!D28</f>
        <v>#REF!</v>
      </c>
      <c r="D37" s="29">
        <v>0</v>
      </c>
      <c r="E37" s="38"/>
      <c r="F37" s="39"/>
      <c r="G37" s="47"/>
      <c r="H37" s="24" t="e">
        <f>(XNPV($O$6,B37:$B$40,A37:$A$40)-B37)*((1+$O$6)^(1/365))</f>
        <v>#NUM!</v>
      </c>
      <c r="I37" s="41" t="e">
        <f t="shared" si="3"/>
        <v>#REF!</v>
      </c>
      <c r="J37" s="29" t="e">
        <f t="shared" si="7"/>
        <v>#REF!</v>
      </c>
      <c r="K37" s="42" t="e">
        <f t="shared" si="4"/>
        <v>#NUM!</v>
      </c>
      <c r="L37" s="33">
        <f t="shared" si="2"/>
        <v>0</v>
      </c>
      <c r="M37" s="28" t="e">
        <f t="shared" si="5"/>
        <v>#NUM!</v>
      </c>
      <c r="N37" s="29" t="e">
        <f t="shared" ref="N37" si="22">I36*O$4*(A37-A36+1)/360</f>
        <v>#REF!</v>
      </c>
      <c r="O37" s="30" t="e">
        <f t="shared" si="1"/>
        <v>#NUM!</v>
      </c>
      <c r="P37" s="43">
        <v>0</v>
      </c>
      <c r="Q37" s="44" t="e">
        <f>M37/H35</f>
        <v>#NUM!</v>
      </c>
      <c r="R37" s="33"/>
      <c r="S37" s="2" t="e">
        <f>N36+N37-D37</f>
        <v>#REF!</v>
      </c>
      <c r="T37" s="7" t="e">
        <f>O37+O36</f>
        <v>#NUM!</v>
      </c>
      <c r="U37" s="7" t="e">
        <f>M36+M37</f>
        <v>#NUM!</v>
      </c>
      <c r="V37" s="45" t="e">
        <f>N37-#REF!</f>
        <v>#REF!</v>
      </c>
      <c r="W37" s="7" t="e">
        <f>J37-#REF!</f>
        <v>#REF!</v>
      </c>
      <c r="X37" s="7"/>
      <c r="Z37" s="7"/>
    </row>
    <row r="38" spans="1:26">
      <c r="A38" s="18">
        <v>41325</v>
      </c>
      <c r="B38" s="37" t="e">
        <f t="shared" si="0"/>
        <v>#REF!</v>
      </c>
      <c r="C38" s="29">
        <v>4000</v>
      </c>
      <c r="D38" s="29" t="e">
        <f>I36*O$4*(A38-A36)/360</f>
        <v>#REF!</v>
      </c>
      <c r="E38" s="38"/>
      <c r="F38" s="39"/>
      <c r="G38" s="47"/>
      <c r="H38" s="24" t="e">
        <f>(XNPV($O$6,B38:$B$40,A38:$A$40)-B38)*((1+$O$6)^(1/365))</f>
        <v>#NUM!</v>
      </c>
      <c r="I38" s="41" t="e">
        <f t="shared" si="3"/>
        <v>#REF!</v>
      </c>
      <c r="J38" s="29" t="e">
        <f t="shared" si="7"/>
        <v>#REF!</v>
      </c>
      <c r="K38" s="42" t="e">
        <f t="shared" si="4"/>
        <v>#NUM!</v>
      </c>
      <c r="L38" s="33">
        <f t="shared" si="2"/>
        <v>0</v>
      </c>
      <c r="M38" s="28" t="e">
        <f t="shared" si="5"/>
        <v>#NUM!</v>
      </c>
      <c r="N38" s="29" t="e">
        <f t="shared" ref="N38" si="23">I37*O$4*(A38-A37-1)/360</f>
        <v>#REF!</v>
      </c>
      <c r="O38" s="30" t="e">
        <f t="shared" si="1"/>
        <v>#NUM!</v>
      </c>
      <c r="P38" s="43">
        <v>0</v>
      </c>
      <c r="Q38" s="44"/>
      <c r="R38" s="33"/>
      <c r="V38" s="45" t="e">
        <f>N38-#REF!</f>
        <v>#REF!</v>
      </c>
      <c r="W38" s="7" t="e">
        <f>J38-#REF!</f>
        <v>#REF!</v>
      </c>
      <c r="X38" s="7" t="e">
        <f>ROUND((O37+O38),2)</f>
        <v>#NUM!</v>
      </c>
      <c r="Y38" s="46" t="s">
        <v>28</v>
      </c>
      <c r="Z38" s="7"/>
    </row>
    <row r="39" spans="1:26">
      <c r="A39" s="18">
        <v>41333</v>
      </c>
      <c r="B39" s="37" t="e">
        <f t="shared" si="0"/>
        <v>#REF!</v>
      </c>
      <c r="C39" s="29" t="e">
        <f>[1]CF!D30</f>
        <v>#REF!</v>
      </c>
      <c r="D39" s="29">
        <v>0</v>
      </c>
      <c r="E39" s="38"/>
      <c r="F39" s="39"/>
      <c r="G39" s="47"/>
      <c r="H39" s="24" t="e">
        <f>(XNPV($O$6,B39:$B$40,A39:$A$40)-B39)*((1+$O$6)^(1/365))</f>
        <v>#NUM!</v>
      </c>
      <c r="I39" s="41" t="e">
        <f t="shared" si="3"/>
        <v>#REF!</v>
      </c>
      <c r="J39" s="29" t="e">
        <f t="shared" si="7"/>
        <v>#REF!</v>
      </c>
      <c r="K39" s="42" t="e">
        <f t="shared" si="4"/>
        <v>#NUM!</v>
      </c>
      <c r="L39" s="33">
        <f t="shared" si="2"/>
        <v>0</v>
      </c>
      <c r="M39" s="28" t="e">
        <f t="shared" si="5"/>
        <v>#NUM!</v>
      </c>
      <c r="N39" s="29" t="e">
        <f t="shared" ref="N39" si="24">I38*O$4*(A39-A38+1)/360</f>
        <v>#REF!</v>
      </c>
      <c r="O39" s="30" t="e">
        <f t="shared" si="1"/>
        <v>#NUM!</v>
      </c>
      <c r="P39" s="43">
        <v>0</v>
      </c>
      <c r="Q39" s="44" t="e">
        <f>M39/H37</f>
        <v>#NUM!</v>
      </c>
      <c r="R39" s="33"/>
      <c r="S39" s="2" t="e">
        <f>N38+N39-D39</f>
        <v>#REF!</v>
      </c>
      <c r="T39" s="7" t="e">
        <f>O39+O38</f>
        <v>#NUM!</v>
      </c>
      <c r="U39" s="7" t="e">
        <f>M38+M39</f>
        <v>#NUM!</v>
      </c>
      <c r="V39" s="45" t="e">
        <f>N39-#REF!</f>
        <v>#REF!</v>
      </c>
      <c r="W39" s="7" t="e">
        <f>J39-#REF!</f>
        <v>#REF!</v>
      </c>
      <c r="X39" s="7"/>
      <c r="Z39" s="7"/>
    </row>
    <row r="40" spans="1:26" ht="15.75" thickBot="1">
      <c r="A40" s="18">
        <v>41350</v>
      </c>
      <c r="B40" s="37" t="e">
        <f t="shared" si="0"/>
        <v>#REF!</v>
      </c>
      <c r="C40" s="29">
        <v>4000</v>
      </c>
      <c r="D40" s="29" t="e">
        <f>I38*O$4*(A40-A38)/360</f>
        <v>#REF!</v>
      </c>
      <c r="E40" s="38"/>
      <c r="F40" s="39"/>
      <c r="G40" s="47"/>
      <c r="H40" s="24" t="e">
        <f>(XNPV($O$6,B40:$B$40,A40:$A$40)-B40)*((1+$O$6)^(1/365))</f>
        <v>#REF!</v>
      </c>
      <c r="I40" s="41" t="e">
        <f t="shared" si="3"/>
        <v>#REF!</v>
      </c>
      <c r="J40" s="29" t="e">
        <f t="shared" si="7"/>
        <v>#REF!</v>
      </c>
      <c r="K40" s="42" t="e">
        <f t="shared" si="4"/>
        <v>#NUM!</v>
      </c>
      <c r="L40" s="33">
        <f t="shared" si="2"/>
        <v>0</v>
      </c>
      <c r="M40" s="28" t="e">
        <f t="shared" si="5"/>
        <v>#REF!</v>
      </c>
      <c r="N40" s="29" t="e">
        <f t="shared" ref="N40" si="25">I39*O$4*(A40-A39-1)/360</f>
        <v>#REF!</v>
      </c>
      <c r="O40" s="30" t="e">
        <f t="shared" si="1"/>
        <v>#REF!</v>
      </c>
      <c r="P40" s="43">
        <v>0</v>
      </c>
      <c r="Q40" s="44"/>
      <c r="R40" s="33"/>
      <c r="V40" s="45" t="e">
        <f>N40-#REF!</f>
        <v>#REF!</v>
      </c>
      <c r="W40" s="7" t="e">
        <f>J40-#REF!</f>
        <v>#REF!</v>
      </c>
      <c r="X40" s="7" t="e">
        <f>ROUND((O39+O40),2)</f>
        <v>#NUM!</v>
      </c>
      <c r="Y40" s="46" t="s">
        <v>28</v>
      </c>
      <c r="Z40" s="7"/>
    </row>
    <row r="41" spans="1:26" ht="16.5" thickTop="1" thickBot="1">
      <c r="A41" s="48" t="s">
        <v>29</v>
      </c>
      <c r="B41" s="49" t="e">
        <f>SUM(B15:B40)-B18</f>
        <v>#REF!</v>
      </c>
      <c r="C41" s="49" t="e">
        <f t="shared" ref="C41:L41" si="26">SUM(C15:C40)-C18</f>
        <v>#REF!</v>
      </c>
      <c r="D41" s="49" t="e">
        <f>SUM(D15:D40)-D18</f>
        <v>#REF!</v>
      </c>
      <c r="E41" s="50" t="s">
        <v>30</v>
      </c>
      <c r="F41" s="51" t="s">
        <v>30</v>
      </c>
      <c r="G41" s="52"/>
      <c r="H41" s="53" t="s">
        <v>30</v>
      </c>
      <c r="I41" s="54" t="s">
        <v>30</v>
      </c>
      <c r="J41" s="55" t="s">
        <v>30</v>
      </c>
      <c r="K41" s="56" t="s">
        <v>30</v>
      </c>
      <c r="L41" s="54">
        <f t="shared" si="26"/>
        <v>0</v>
      </c>
      <c r="M41" s="57" t="e">
        <f>SUM(M13:M40)-M18</f>
        <v>#NUM!</v>
      </c>
      <c r="N41" s="58" t="e">
        <f>SUM(N3:N40)-N18</f>
        <v>#REF!</v>
      </c>
      <c r="O41" s="59" t="e">
        <f>SUM(O13:O40)-O18</f>
        <v>#NUM!</v>
      </c>
      <c r="P41" s="60">
        <f>SUM(P16:P40)</f>
        <v>0</v>
      </c>
      <c r="Q41" s="61" t="s">
        <v>24</v>
      </c>
      <c r="R41" s="33"/>
      <c r="S41" s="62" t="e">
        <f>SUM(S13:S40)</f>
        <v>#REF!</v>
      </c>
      <c r="X41" s="7"/>
    </row>
    <row r="42" spans="1:26">
      <c r="C42" s="7"/>
      <c r="D42" s="7"/>
      <c r="N42" s="63"/>
      <c r="O42" s="64"/>
      <c r="P42" s="65"/>
    </row>
    <row r="43" spans="1:26">
      <c r="N43" s="66"/>
      <c r="O43" s="66"/>
      <c r="P43" s="65"/>
    </row>
    <row r="44" spans="1:26">
      <c r="N44" s="66"/>
      <c r="O44" s="66"/>
      <c r="P44" s="65"/>
    </row>
    <row r="45" spans="1:26" ht="15.75" thickBot="1">
      <c r="N45" s="65"/>
      <c r="O45" s="65"/>
      <c r="P45" s="65"/>
    </row>
    <row r="46" spans="1:26" ht="15.75" thickBot="1">
      <c r="E46" s="67"/>
      <c r="G46" s="68" t="e">
        <f>#REF!-#REF!</f>
        <v>#REF!</v>
      </c>
      <c r="N46" s="65"/>
      <c r="O46" s="65"/>
      <c r="P46" s="65"/>
    </row>
    <row r="47" spans="1:26">
      <c r="G47" s="45" t="e">
        <f>ROUND(NPV(#REF!,#REF!),0)-ROUND(NPV(#REF!,#REF!),0)</f>
        <v>#REF!</v>
      </c>
    </row>
    <row r="48" spans="1:26">
      <c r="G48" s="45" t="e">
        <f>ROUND(NPV(#REF!,#REF!)-NPV(#REF!,#REF!),0)</f>
        <v>#REF!</v>
      </c>
    </row>
    <row r="49" spans="7:7" customFormat="1">
      <c r="G49" s="45"/>
    </row>
  </sheetData>
  <mergeCells count="23">
    <mergeCell ref="Q9:Q12"/>
    <mergeCell ref="X9:Y12"/>
    <mergeCell ref="G11:G12"/>
    <mergeCell ref="H11:H12"/>
    <mergeCell ref="N11:N12"/>
    <mergeCell ref="O11:O12"/>
    <mergeCell ref="P11:P12"/>
    <mergeCell ref="N2:P2"/>
    <mergeCell ref="A9:A12"/>
    <mergeCell ref="B9:E10"/>
    <mergeCell ref="F9:F12"/>
    <mergeCell ref="H9:L10"/>
    <mergeCell ref="M9:O10"/>
    <mergeCell ref="P9:P10"/>
    <mergeCell ref="L11:L12"/>
    <mergeCell ref="I11:I12"/>
    <mergeCell ref="J11:J12"/>
    <mergeCell ref="K11:K12"/>
    <mergeCell ref="B2:D2"/>
    <mergeCell ref="H2:L2"/>
    <mergeCell ref="C11:C12"/>
    <mergeCell ref="D11:D12"/>
    <mergeCell ref="E11:E1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2:AA47"/>
  <sheetViews>
    <sheetView workbookViewId="0">
      <selection activeCell="E26" sqref="E26"/>
    </sheetView>
  </sheetViews>
  <sheetFormatPr defaultRowHeight="15"/>
  <cols>
    <col min="1" max="1" width="12" customWidth="1"/>
    <col min="2" max="3" width="14.7109375" customWidth="1"/>
    <col min="4" max="4" width="13.140625" customWidth="1"/>
    <col min="5" max="5" width="10" customWidth="1"/>
    <col min="6" max="6" width="9.42578125" hidden="1" customWidth="1"/>
    <col min="7" max="7" width="13.85546875" hidden="1" customWidth="1"/>
    <col min="8" max="8" width="13.5703125" customWidth="1"/>
    <col min="9" max="9" width="12.7109375" customWidth="1"/>
    <col min="10" max="10" width="13.42578125" customWidth="1"/>
    <col min="11" max="11" width="12.7109375" customWidth="1"/>
    <col min="12" max="12" width="9.28515625" hidden="1" customWidth="1"/>
    <col min="13" max="13" width="12.28515625" customWidth="1"/>
    <col min="14" max="14" width="15.42578125" customWidth="1"/>
    <col min="15" max="15" width="14.140625" customWidth="1"/>
    <col min="16" max="16" width="11.42578125" hidden="1" customWidth="1"/>
    <col min="17" max="17" width="11.28515625" hidden="1" customWidth="1"/>
    <col min="18" max="18" width="0.7109375" customWidth="1"/>
    <col min="19" max="19" width="12.140625" style="2" hidden="1" customWidth="1"/>
    <col min="20" max="21" width="0" hidden="1" customWidth="1"/>
    <col min="22" max="22" width="11.28515625" hidden="1" customWidth="1"/>
    <col min="23" max="24" width="0" hidden="1" customWidth="1"/>
    <col min="25" max="25" width="49.28515625" hidden="1" customWidth="1"/>
  </cols>
  <sheetData>
    <row r="2" spans="1:27">
      <c r="B2" s="199"/>
      <c r="C2" s="199"/>
      <c r="D2" s="199"/>
      <c r="H2" s="199"/>
      <c r="I2" s="199"/>
      <c r="J2" s="199"/>
      <c r="K2" s="199"/>
      <c r="L2" s="199"/>
      <c r="N2" s="199" t="s">
        <v>0</v>
      </c>
      <c r="O2" s="199"/>
      <c r="P2" s="199"/>
      <c r="Q2" s="1"/>
    </row>
    <row r="3" spans="1:27" ht="4.5" customHeight="1"/>
    <row r="4" spans="1:27">
      <c r="B4" s="3"/>
      <c r="N4" s="3" t="s">
        <v>1</v>
      </c>
      <c r="O4" s="4">
        <v>0.25</v>
      </c>
    </row>
    <row r="5" spans="1:27" ht="4.5" customHeight="1">
      <c r="B5" s="3"/>
    </row>
    <row r="6" spans="1:27">
      <c r="B6" s="3"/>
      <c r="N6" s="3" t="s">
        <v>2</v>
      </c>
      <c r="O6" s="4">
        <f>XIRR(B13:B38,A13:A38)</f>
        <v>0.31053376793861398</v>
      </c>
      <c r="S6" s="5"/>
      <c r="T6" s="6"/>
    </row>
    <row r="7" spans="1:27" ht="4.5" customHeight="1">
      <c r="B7" s="3"/>
    </row>
    <row r="8" spans="1:27" ht="15.75" thickBot="1">
      <c r="C8" s="7"/>
      <c r="D8" s="7"/>
      <c r="H8" s="7"/>
      <c r="I8" s="7"/>
    </row>
    <row r="9" spans="1:27" ht="13.5" customHeight="1" thickTop="1">
      <c r="A9" s="200" t="s">
        <v>3</v>
      </c>
      <c r="B9" s="203" t="s">
        <v>4</v>
      </c>
      <c r="C9" s="204"/>
      <c r="D9" s="204"/>
      <c r="E9" s="205"/>
      <c r="F9" s="209" t="s">
        <v>5</v>
      </c>
      <c r="G9" s="8"/>
      <c r="H9" s="212" t="s">
        <v>6</v>
      </c>
      <c r="I9" s="213"/>
      <c r="J9" s="213"/>
      <c r="K9" s="213"/>
      <c r="L9" s="214"/>
      <c r="M9" s="218" t="s">
        <v>7</v>
      </c>
      <c r="N9" s="219"/>
      <c r="O9" s="220"/>
      <c r="P9" s="224" t="s">
        <v>8</v>
      </c>
      <c r="Q9" s="232" t="s">
        <v>9</v>
      </c>
      <c r="R9" s="9"/>
      <c r="X9" s="235" t="s">
        <v>10</v>
      </c>
      <c r="Y9" s="235"/>
    </row>
    <row r="10" spans="1:27" ht="13.5" customHeight="1">
      <c r="A10" s="201"/>
      <c r="B10" s="206"/>
      <c r="C10" s="207"/>
      <c r="D10" s="207"/>
      <c r="E10" s="208"/>
      <c r="F10" s="210"/>
      <c r="G10" s="10"/>
      <c r="H10" s="215"/>
      <c r="I10" s="216"/>
      <c r="J10" s="216"/>
      <c r="K10" s="216"/>
      <c r="L10" s="217"/>
      <c r="M10" s="221"/>
      <c r="N10" s="222"/>
      <c r="O10" s="223"/>
      <c r="P10" s="225"/>
      <c r="Q10" s="233"/>
      <c r="R10" s="9"/>
      <c r="S10" s="11"/>
      <c r="X10" s="235"/>
      <c r="Y10" s="235"/>
    </row>
    <row r="11" spans="1:27" ht="13.5" customHeight="1">
      <c r="A11" s="201"/>
      <c r="B11" s="12"/>
      <c r="C11" s="228" t="s">
        <v>11</v>
      </c>
      <c r="D11" s="228" t="s">
        <v>12</v>
      </c>
      <c r="E11" s="230" t="s">
        <v>13</v>
      </c>
      <c r="F11" s="210"/>
      <c r="G11" s="210" t="s">
        <v>5</v>
      </c>
      <c r="H11" s="236" t="s">
        <v>14</v>
      </c>
      <c r="I11" s="228" t="s">
        <v>11</v>
      </c>
      <c r="J11" s="228" t="s">
        <v>15</v>
      </c>
      <c r="K11" s="228" t="s">
        <v>16</v>
      </c>
      <c r="L11" s="226" t="s">
        <v>17</v>
      </c>
      <c r="M11" s="13"/>
      <c r="N11" s="228" t="s">
        <v>18</v>
      </c>
      <c r="O11" s="238" t="s">
        <v>19</v>
      </c>
      <c r="P11" s="240" t="s">
        <v>20</v>
      </c>
      <c r="Q11" s="233"/>
      <c r="R11" s="9"/>
      <c r="S11" s="14"/>
      <c r="X11" s="235"/>
      <c r="Y11" s="235"/>
    </row>
    <row r="12" spans="1:27" ht="66.75" customHeight="1" thickBot="1">
      <c r="A12" s="202"/>
      <c r="B12" s="15" t="s">
        <v>14</v>
      </c>
      <c r="C12" s="229"/>
      <c r="D12" s="229"/>
      <c r="E12" s="231"/>
      <c r="F12" s="211"/>
      <c r="G12" s="211"/>
      <c r="H12" s="237"/>
      <c r="I12" s="229"/>
      <c r="J12" s="229"/>
      <c r="K12" s="229"/>
      <c r="L12" s="227"/>
      <c r="M12" s="16" t="s">
        <v>21</v>
      </c>
      <c r="N12" s="229"/>
      <c r="O12" s="239"/>
      <c r="P12" s="241"/>
      <c r="Q12" s="234"/>
      <c r="R12" s="17"/>
      <c r="V12" t="s">
        <v>22</v>
      </c>
      <c r="W12" t="s">
        <v>23</v>
      </c>
      <c r="X12" s="235"/>
      <c r="Y12" s="235"/>
    </row>
    <row r="13" spans="1:27" ht="16.5" thickTop="1" thickBot="1">
      <c r="A13" s="18">
        <v>40985</v>
      </c>
      <c r="B13" s="19">
        <f>C13+E13</f>
        <v>-47520</v>
      </c>
      <c r="C13" s="20">
        <v>-48000</v>
      </c>
      <c r="D13" s="20"/>
      <c r="E13" s="21">
        <v>480</v>
      </c>
      <c r="F13" s="22">
        <f>NPV($O$6,B16:B$38)</f>
        <v>5104.9146906813148</v>
      </c>
      <c r="G13" s="23"/>
      <c r="H13" s="24">
        <f>(XNPV($O$6,B13:$B$38,A13:$A$38)-B13)*(1+O6)^(1/365)</f>
        <v>47555.22140259845</v>
      </c>
      <c r="I13" s="25">
        <f>C13*(-1)</f>
        <v>48000</v>
      </c>
      <c r="J13" s="20">
        <f>I13*O4*1/360</f>
        <v>33.333333333333336</v>
      </c>
      <c r="K13" s="26">
        <f>-E13+O13</f>
        <v>-478.11193073488295</v>
      </c>
      <c r="L13" s="27" t="s">
        <v>24</v>
      </c>
      <c r="M13" s="28">
        <f>H13+B13</f>
        <v>35.221402598450368</v>
      </c>
      <c r="N13" s="29">
        <f>J13</f>
        <v>33.333333333333336</v>
      </c>
      <c r="O13" s="30">
        <f>M13-N13</f>
        <v>1.8880692651170321</v>
      </c>
      <c r="P13" s="31" t="s">
        <v>24</v>
      </c>
      <c r="Q13" s="32" t="s">
        <v>24</v>
      </c>
      <c r="R13" s="33"/>
      <c r="S13" s="2">
        <f>N12+N13-D13</f>
        <v>33.333333333333336</v>
      </c>
      <c r="U13" s="34"/>
      <c r="X13" s="35" t="s">
        <v>25</v>
      </c>
      <c r="Y13" s="36" t="s">
        <v>26</v>
      </c>
      <c r="AA13" s="7"/>
    </row>
    <row r="14" spans="1:27" ht="16.5" thickTop="1" thickBot="1">
      <c r="A14" s="18">
        <v>40999</v>
      </c>
      <c r="B14" s="37">
        <f>SUM(C14:E14)</f>
        <v>0</v>
      </c>
      <c r="C14" s="29"/>
      <c r="D14" s="29"/>
      <c r="E14" s="38" t="s">
        <v>24</v>
      </c>
      <c r="F14" s="39" t="e">
        <f>NPV($O$6,#REF!)</f>
        <v>#REF!</v>
      </c>
      <c r="G14" s="40"/>
      <c r="H14" s="24">
        <f>(XNPV($O$6,B14:$B$38,A14:$A$38)-B14)*((1+$O$6)^(1/365))</f>
        <v>48051.070891224314</v>
      </c>
      <c r="I14" s="41">
        <f>I13-C14</f>
        <v>48000</v>
      </c>
      <c r="J14" s="29">
        <f>J13+N14-D14</f>
        <v>500</v>
      </c>
      <c r="K14" s="42">
        <f>K13+O14</f>
        <v>-448.92910877568647</v>
      </c>
      <c r="L14" s="33">
        <f>P14</f>
        <v>0</v>
      </c>
      <c r="M14" s="28">
        <f>H14-H13+B14</f>
        <v>495.84948862586316</v>
      </c>
      <c r="N14" s="29">
        <f>I13*O$4*(A14-A13)/360</f>
        <v>466.66666666666669</v>
      </c>
      <c r="O14" s="30">
        <f>M14-N14</f>
        <v>29.182821959196474</v>
      </c>
      <c r="P14" s="43">
        <v>0</v>
      </c>
      <c r="Q14" s="44"/>
      <c r="R14" s="33"/>
      <c r="T14" s="7">
        <f>O14</f>
        <v>29.182821959196474</v>
      </c>
      <c r="U14" s="7">
        <f>M14</f>
        <v>495.84948862586316</v>
      </c>
      <c r="V14" s="45" t="e">
        <f>N14+N12-#REF!</f>
        <v>#REF!</v>
      </c>
      <c r="W14" s="7" t="e">
        <f>J14-#REF!</f>
        <v>#REF!</v>
      </c>
      <c r="X14" s="7">
        <f>ROUND((O12+O14),2)</f>
        <v>29.18</v>
      </c>
      <c r="Y14" s="46" t="s">
        <v>27</v>
      </c>
      <c r="Z14" s="7"/>
      <c r="AA14" s="7"/>
    </row>
    <row r="15" spans="1:27" ht="16.5" thickTop="1" thickBot="1">
      <c r="A15" s="18">
        <v>41019</v>
      </c>
      <c r="B15" s="37">
        <f>SUM(C15:E15)</f>
        <v>5133.333333333333</v>
      </c>
      <c r="C15" s="29">
        <v>4000</v>
      </c>
      <c r="D15" s="29">
        <f>I13*O$4*(A15-A13)/360</f>
        <v>1133.3333333333333</v>
      </c>
      <c r="E15" s="38" t="s">
        <v>24</v>
      </c>
      <c r="F15" s="39" t="e">
        <f>NPV($O$6,#REF!)</f>
        <v>#REF!</v>
      </c>
      <c r="G15" s="40"/>
      <c r="H15" s="24">
        <f>(XNPV($O$6,B15:$B$38,A15:$A$38)-B15)*((1+$O$6)^(1/365))</f>
        <v>43631.271123228616</v>
      </c>
      <c r="I15" s="41">
        <f>I13-C15</f>
        <v>44000</v>
      </c>
      <c r="J15" s="29">
        <f t="shared" ref="J15:J38" si="0">J14+N15-D15</f>
        <v>0</v>
      </c>
      <c r="K15" s="42">
        <f t="shared" ref="K15:K37" si="1">K14+O15</f>
        <v>-368.72887677138385</v>
      </c>
      <c r="L15" s="33">
        <f>P15</f>
        <v>0</v>
      </c>
      <c r="M15" s="28">
        <f>H15-H14+B15</f>
        <v>713.53356533763599</v>
      </c>
      <c r="N15" s="29">
        <f>I14*O$4*(A15-A14-1)/360</f>
        <v>633.33333333333337</v>
      </c>
      <c r="O15" s="30">
        <f>M15-N15</f>
        <v>80.20023200430262</v>
      </c>
      <c r="P15" s="43">
        <v>0</v>
      </c>
      <c r="Q15" s="44"/>
      <c r="R15" s="33"/>
      <c r="T15" s="7">
        <f>O15</f>
        <v>80.20023200430262</v>
      </c>
      <c r="U15" s="7">
        <f>M15</f>
        <v>713.53356533763599</v>
      </c>
      <c r="V15" s="45" t="e">
        <f>N15+N13-#REF!</f>
        <v>#REF!</v>
      </c>
      <c r="W15" s="7" t="e">
        <f>J15-#REF!</f>
        <v>#REF!</v>
      </c>
      <c r="X15" s="7">
        <f>ROUND((O13+O15),2)</f>
        <v>82.09</v>
      </c>
      <c r="Y15" s="46" t="s">
        <v>27</v>
      </c>
      <c r="Z15" s="7">
        <f>A15-A13</f>
        <v>34</v>
      </c>
      <c r="AA15" s="7">
        <f>I13*0.25*Z15/360</f>
        <v>1133.3333333333333</v>
      </c>
    </row>
    <row r="16" spans="1:27" ht="15.75" thickTop="1">
      <c r="A16" s="18">
        <v>41029</v>
      </c>
      <c r="B16" s="37">
        <f>SUM(C16:E16)</f>
        <v>0</v>
      </c>
      <c r="C16" s="29"/>
      <c r="D16" s="29">
        <v>0</v>
      </c>
      <c r="E16" s="38"/>
      <c r="F16" s="39" t="e">
        <f>NPV($O$6,#REF!)</f>
        <v>#REF!</v>
      </c>
      <c r="G16" s="40"/>
      <c r="H16" s="24">
        <f>(XNPV($O$6,B16:$B$38,A16:$A$38)-B16)*((1+$O$6)^(1/365))</f>
        <v>43955.742944231053</v>
      </c>
      <c r="I16" s="41">
        <f t="shared" ref="I16:I38" si="2">I15-C16</f>
        <v>44000</v>
      </c>
      <c r="J16" s="29">
        <f t="shared" si="0"/>
        <v>336.11111111111109</v>
      </c>
      <c r="K16" s="42">
        <f t="shared" si="1"/>
        <v>-380.36816688005831</v>
      </c>
      <c r="L16" s="33">
        <f>P16</f>
        <v>0</v>
      </c>
      <c r="M16" s="28">
        <f t="shared" ref="M16:M38" si="3">H16-H15+B16</f>
        <v>324.47182100243663</v>
      </c>
      <c r="N16" s="29">
        <f>I15*O$4*(A16-A15+1)/360</f>
        <v>336.11111111111109</v>
      </c>
      <c r="O16" s="30">
        <f t="shared" ref="O16:O38" si="4">M16-N16</f>
        <v>-11.639290108674459</v>
      </c>
      <c r="P16" s="43">
        <v>0</v>
      </c>
      <c r="Q16" s="44">
        <f>M16/H13</f>
        <v>6.8230535245643346E-3</v>
      </c>
      <c r="R16" s="33"/>
      <c r="S16" s="2">
        <f>N15+N16-D16</f>
        <v>969.44444444444446</v>
      </c>
      <c r="T16" s="7">
        <f>O16</f>
        <v>-11.639290108674459</v>
      </c>
      <c r="U16" s="7">
        <f>M16</f>
        <v>324.47182100243663</v>
      </c>
      <c r="V16" s="45" t="e">
        <f>N16-#REF!</f>
        <v>#REF!</v>
      </c>
      <c r="W16" s="7" t="e">
        <f>J16-#REF!</f>
        <v>#REF!</v>
      </c>
      <c r="X16" s="7"/>
      <c r="Z16" s="7"/>
      <c r="AA16" s="7"/>
    </row>
    <row r="17" spans="1:27">
      <c r="A17" s="69">
        <v>41034</v>
      </c>
      <c r="B17" s="82">
        <f t="shared" ref="B17:B38" si="5">SUM(C17:E17)</f>
        <v>0</v>
      </c>
      <c r="C17" s="80">
        <v>0</v>
      </c>
      <c r="D17" s="80">
        <v>0</v>
      </c>
      <c r="E17" s="83"/>
      <c r="F17" s="84"/>
      <c r="G17" s="89"/>
      <c r="H17" s="75">
        <f>(XNPV($O$6,B17:$B$38,A17:$A$38)-B17)*((1+$O$6)^(1/365))</f>
        <v>44118.882608775195</v>
      </c>
      <c r="I17" s="86">
        <f>I15-C17</f>
        <v>44000</v>
      </c>
      <c r="J17" s="80">
        <f>J16+N17-D17</f>
        <v>458.33333333333331</v>
      </c>
      <c r="K17" s="87">
        <f>K16+O17</f>
        <v>-339.45072455813869</v>
      </c>
      <c r="L17" s="88">
        <f>P17</f>
        <v>0</v>
      </c>
      <c r="M17" s="79">
        <f t="shared" si="3"/>
        <v>163.13966454414185</v>
      </c>
      <c r="N17" s="80">
        <f>I15*O$4*(A17-A16-1)/360</f>
        <v>122.22222222222223</v>
      </c>
      <c r="O17" s="81">
        <f t="shared" si="4"/>
        <v>40.917442321919623</v>
      </c>
      <c r="P17" s="43">
        <v>0</v>
      </c>
      <c r="Q17" s="44"/>
      <c r="R17" s="33"/>
      <c r="V17" s="45" t="e">
        <f>N17-#REF!</f>
        <v>#REF!</v>
      </c>
      <c r="W17" s="7" t="e">
        <f>J17-#REF!</f>
        <v>#REF!</v>
      </c>
      <c r="X17" s="7">
        <f>ROUND((O15+O17),2)</f>
        <v>121.12</v>
      </c>
      <c r="Y17" s="46" t="s">
        <v>28</v>
      </c>
      <c r="Z17" s="7"/>
      <c r="AA17" s="7"/>
    </row>
    <row r="18" spans="1:27">
      <c r="A18" s="18">
        <v>41049</v>
      </c>
      <c r="B18" s="37">
        <f t="shared" si="5"/>
        <v>4916.666666666667</v>
      </c>
      <c r="C18" s="29">
        <v>4000</v>
      </c>
      <c r="D18" s="29">
        <f>I15*O$4*(A18-A15)/360</f>
        <v>916.66666666666663</v>
      </c>
      <c r="E18" s="38"/>
      <c r="F18" s="39"/>
      <c r="G18" s="47"/>
      <c r="H18" s="24">
        <f>(XNPV($O$6,B18:$B$38,A18:$A$38)-B18)*((1+$O$6)^(1/365))</f>
        <v>39691.632654821064</v>
      </c>
      <c r="I18" s="41">
        <f>I16-C18</f>
        <v>40000</v>
      </c>
      <c r="J18" s="29">
        <f>J17+N18-D18</f>
        <v>0</v>
      </c>
      <c r="K18" s="42">
        <f>K17+O18</f>
        <v>-308.36734517893638</v>
      </c>
      <c r="L18" s="33">
        <f>P18</f>
        <v>0</v>
      </c>
      <c r="M18" s="28">
        <f t="shared" si="3"/>
        <v>489.41671271253563</v>
      </c>
      <c r="N18" s="29">
        <f>I16*O$4*(A18-A17)/360</f>
        <v>458.33333333333331</v>
      </c>
      <c r="O18" s="30">
        <f t="shared" si="4"/>
        <v>31.083379379202313</v>
      </c>
      <c r="P18" s="43">
        <v>0</v>
      </c>
      <c r="Q18" s="44"/>
      <c r="R18" s="33"/>
      <c r="V18" s="45" t="e">
        <f>N18-#REF!</f>
        <v>#REF!</v>
      </c>
      <c r="W18" s="7" t="e">
        <f>J18-#REF!</f>
        <v>#REF!</v>
      </c>
      <c r="X18" s="7">
        <f>ROUND((O16+O18),2)</f>
        <v>19.440000000000001</v>
      </c>
      <c r="Y18" s="46" t="s">
        <v>28</v>
      </c>
      <c r="Z18" s="7"/>
      <c r="AA18" s="7"/>
    </row>
    <row r="19" spans="1:27">
      <c r="A19" s="18">
        <v>41060</v>
      </c>
      <c r="B19" s="37">
        <f t="shared" si="5"/>
        <v>0</v>
      </c>
      <c r="C19" s="29"/>
      <c r="D19" s="29">
        <v>0</v>
      </c>
      <c r="E19" s="38"/>
      <c r="F19" s="39"/>
      <c r="G19" s="47"/>
      <c r="H19" s="24">
        <f>(XNPV($O$6,B19:$B$38,A19:$A$38)-B19)*((1+$O$6)^(1/365))</f>
        <v>40016.444505204759</v>
      </c>
      <c r="I19" s="41">
        <f t="shared" si="2"/>
        <v>40000</v>
      </c>
      <c r="J19" s="29">
        <f t="shared" si="0"/>
        <v>333.33333333333331</v>
      </c>
      <c r="K19" s="42">
        <f t="shared" si="1"/>
        <v>-316.88882812857383</v>
      </c>
      <c r="L19" s="33">
        <f t="shared" ref="L19:L38" si="6">P19</f>
        <v>0</v>
      </c>
      <c r="M19" s="28">
        <f t="shared" si="3"/>
        <v>324.81185038369586</v>
      </c>
      <c r="N19" s="29">
        <f t="shared" ref="N19" si="7">I18*O$4*(A19-A18+1)/360</f>
        <v>333.33333333333331</v>
      </c>
      <c r="O19" s="30">
        <f t="shared" si="4"/>
        <v>-8.5214829496374591</v>
      </c>
      <c r="P19" s="43">
        <v>0</v>
      </c>
      <c r="Q19" s="44">
        <f>M19/H16</f>
        <v>7.3895201998019147E-3</v>
      </c>
      <c r="R19" s="33"/>
      <c r="S19" s="2">
        <f>N18+N19-D19</f>
        <v>791.66666666666663</v>
      </c>
      <c r="T19" s="7">
        <f>O19+O18</f>
        <v>22.561896429564854</v>
      </c>
      <c r="U19" s="7">
        <f>M18+M19</f>
        <v>814.22856309623148</v>
      </c>
      <c r="V19" s="45" t="e">
        <f>N19-#REF!</f>
        <v>#REF!</v>
      </c>
      <c r="W19" s="7" t="e">
        <f>J19-#REF!</f>
        <v>#REF!</v>
      </c>
      <c r="X19" s="7"/>
      <c r="Z19" s="7"/>
      <c r="AA19" s="7"/>
    </row>
    <row r="20" spans="1:27">
      <c r="A20" s="18">
        <v>41080</v>
      </c>
      <c r="B20" s="37">
        <f t="shared" si="5"/>
        <v>4861.1111111111113</v>
      </c>
      <c r="C20" s="29">
        <v>4000</v>
      </c>
      <c r="D20" s="29">
        <f>I18*O$4*(A20-A18)/360</f>
        <v>861.11111111111109</v>
      </c>
      <c r="E20" s="38"/>
      <c r="F20" s="39"/>
      <c r="G20" s="47"/>
      <c r="H20" s="24">
        <f>(XNPV($O$6,B20:$B$38,A20:$A$38)-B20)*((1+$O$6)^(1/365))</f>
        <v>35749.122481434453</v>
      </c>
      <c r="I20" s="41">
        <f t="shared" si="2"/>
        <v>36000</v>
      </c>
      <c r="J20" s="29">
        <f t="shared" si="0"/>
        <v>0</v>
      </c>
      <c r="K20" s="42">
        <f t="shared" si="1"/>
        <v>-250.87751856554661</v>
      </c>
      <c r="L20" s="33">
        <f t="shared" si="6"/>
        <v>0</v>
      </c>
      <c r="M20" s="28">
        <f t="shared" si="3"/>
        <v>593.78908734080505</v>
      </c>
      <c r="N20" s="29">
        <f t="shared" ref="N20" si="8">I19*O$4*(A20-A19-1)/360</f>
        <v>527.77777777777783</v>
      </c>
      <c r="O20" s="30">
        <f t="shared" si="4"/>
        <v>66.011309563027226</v>
      </c>
      <c r="P20" s="43">
        <v>0</v>
      </c>
      <c r="Q20" s="44"/>
      <c r="R20" s="33"/>
      <c r="V20" s="45" t="e">
        <f>N20-#REF!</f>
        <v>#REF!</v>
      </c>
      <c r="W20" s="7" t="e">
        <f>J20-#REF!</f>
        <v>#REF!</v>
      </c>
      <c r="X20" s="7">
        <f>ROUND((O19+O20),2)</f>
        <v>57.49</v>
      </c>
      <c r="Y20" s="46" t="s">
        <v>28</v>
      </c>
      <c r="Z20" s="7"/>
      <c r="AA20" s="7"/>
    </row>
    <row r="21" spans="1:27">
      <c r="A21" s="18">
        <v>41090</v>
      </c>
      <c r="B21" s="37">
        <f t="shared" si="5"/>
        <v>0</v>
      </c>
      <c r="C21" s="29"/>
      <c r="D21" s="29">
        <v>0</v>
      </c>
      <c r="E21" s="38"/>
      <c r="F21" s="39"/>
      <c r="G21" s="47"/>
      <c r="H21" s="24">
        <f>(XNPV($O$6,B21:$B$38,A21:$A$38)-B21)*((1+$O$6)^(1/365))</f>
        <v>36014.977281722749</v>
      </c>
      <c r="I21" s="41">
        <f t="shared" si="2"/>
        <v>36000</v>
      </c>
      <c r="J21" s="29">
        <f t="shared" si="0"/>
        <v>275</v>
      </c>
      <c r="K21" s="42">
        <f t="shared" si="1"/>
        <v>-260.02271827725036</v>
      </c>
      <c r="L21" s="33">
        <f t="shared" si="6"/>
        <v>0</v>
      </c>
      <c r="M21" s="28">
        <f t="shared" si="3"/>
        <v>265.85480028829625</v>
      </c>
      <c r="N21" s="29">
        <f t="shared" ref="N21" si="9">I20*O$4*(A21-A20+1)/360</f>
        <v>275</v>
      </c>
      <c r="O21" s="30">
        <f t="shared" si="4"/>
        <v>-9.1451997117037536</v>
      </c>
      <c r="P21" s="43">
        <v>0</v>
      </c>
      <c r="Q21" s="44">
        <f>M21/H19</f>
        <v>6.6436387234182614E-3</v>
      </c>
      <c r="R21" s="33"/>
      <c r="S21" s="2">
        <f>N20+N21-D21</f>
        <v>802.77777777777783</v>
      </c>
      <c r="T21" s="7">
        <f>O21+O20</f>
        <v>56.866109851323472</v>
      </c>
      <c r="U21" s="7">
        <f>M20+M21</f>
        <v>859.6438876291013</v>
      </c>
      <c r="V21" s="45" t="e">
        <f>N21-#REF!</f>
        <v>#REF!</v>
      </c>
      <c r="W21" s="7" t="e">
        <f>J21-#REF!</f>
        <v>#REF!</v>
      </c>
      <c r="X21" s="7"/>
      <c r="Z21" s="7"/>
      <c r="AA21" s="7"/>
    </row>
    <row r="22" spans="1:27">
      <c r="A22" s="18">
        <v>41110</v>
      </c>
      <c r="B22" s="37">
        <f t="shared" si="5"/>
        <v>4750</v>
      </c>
      <c r="C22" s="29">
        <v>4000</v>
      </c>
      <c r="D22" s="29">
        <f>I20*O$4*(A22-A20)/360</f>
        <v>750</v>
      </c>
      <c r="E22" s="38"/>
      <c r="F22" s="39"/>
      <c r="G22" s="47"/>
      <c r="H22" s="24">
        <f>(XNPV($O$6,B22:$B$38,A22:$A$38)-B22)*((1+$O$6)^(1/365))</f>
        <v>31799.112159462333</v>
      </c>
      <c r="I22" s="41">
        <f t="shared" si="2"/>
        <v>32000</v>
      </c>
      <c r="J22" s="29">
        <f t="shared" si="0"/>
        <v>0</v>
      </c>
      <c r="K22" s="42">
        <f t="shared" si="1"/>
        <v>-200.88784053766705</v>
      </c>
      <c r="L22" s="33">
        <f t="shared" si="6"/>
        <v>0</v>
      </c>
      <c r="M22" s="28">
        <f t="shared" si="3"/>
        <v>534.13487773958332</v>
      </c>
      <c r="N22" s="29">
        <f t="shared" ref="N22" si="10">I21*O$4*(A22-A21-1)/360</f>
        <v>475</v>
      </c>
      <c r="O22" s="30">
        <f t="shared" si="4"/>
        <v>59.134877739583317</v>
      </c>
      <c r="P22" s="43">
        <v>0</v>
      </c>
      <c r="Q22" s="44"/>
      <c r="R22" s="33"/>
      <c r="V22" s="45" t="e">
        <f>N22-#REF!</f>
        <v>#REF!</v>
      </c>
      <c r="W22" s="7" t="e">
        <f>J22-#REF!</f>
        <v>#REF!</v>
      </c>
      <c r="X22" s="7">
        <f>ROUND((O21+O22),2)</f>
        <v>49.99</v>
      </c>
      <c r="Y22" s="46" t="s">
        <v>28</v>
      </c>
      <c r="Z22" s="7"/>
      <c r="AA22" s="7"/>
    </row>
    <row r="23" spans="1:27">
      <c r="A23" s="18">
        <v>41121</v>
      </c>
      <c r="B23" s="37">
        <f t="shared" si="5"/>
        <v>0</v>
      </c>
      <c r="C23" s="29"/>
      <c r="D23" s="29">
        <v>0</v>
      </c>
      <c r="E23" s="38"/>
      <c r="F23" s="39"/>
      <c r="G23" s="47"/>
      <c r="H23" s="24">
        <f>(XNPV($O$6,B23:$B$38,A23:$A$38)-B23)*((1+$O$6)^(1/365))</f>
        <v>32059.336488123681</v>
      </c>
      <c r="I23" s="41">
        <f t="shared" si="2"/>
        <v>32000</v>
      </c>
      <c r="J23" s="29">
        <f t="shared" si="0"/>
        <v>266.66666666666669</v>
      </c>
      <c r="K23" s="42">
        <f t="shared" si="1"/>
        <v>-207.33017854298532</v>
      </c>
      <c r="L23" s="33">
        <f t="shared" si="6"/>
        <v>0</v>
      </c>
      <c r="M23" s="28">
        <f t="shared" si="3"/>
        <v>260.22432866134841</v>
      </c>
      <c r="N23" s="29">
        <f t="shared" ref="N23" si="11">I22*O$4*(A23-A22+1)/360</f>
        <v>266.66666666666669</v>
      </c>
      <c r="O23" s="30">
        <f t="shared" si="4"/>
        <v>-6.4423380053182768</v>
      </c>
      <c r="P23" s="43">
        <v>0</v>
      </c>
      <c r="Q23" s="44">
        <f>M23/H21</f>
        <v>7.2254475305030871E-3</v>
      </c>
      <c r="R23" s="33"/>
      <c r="S23" s="2">
        <f>N22+N23-D23</f>
        <v>741.66666666666674</v>
      </c>
      <c r="T23" s="7">
        <f>O23+O22</f>
        <v>52.69253973426504</v>
      </c>
      <c r="U23" s="7">
        <f>M22+M23</f>
        <v>794.35920640093173</v>
      </c>
      <c r="V23" s="45" t="e">
        <f>N23-#REF!</f>
        <v>#REF!</v>
      </c>
      <c r="W23" s="7" t="e">
        <f>J23-#REF!</f>
        <v>#REF!</v>
      </c>
      <c r="X23" s="7"/>
      <c r="Z23" s="7"/>
      <c r="AA23" s="7"/>
    </row>
    <row r="24" spans="1:27">
      <c r="A24" s="18">
        <v>41141</v>
      </c>
      <c r="B24" s="37">
        <f t="shared" si="5"/>
        <v>4688.8888888888887</v>
      </c>
      <c r="C24" s="29">
        <v>4000</v>
      </c>
      <c r="D24" s="29">
        <f>I22*O$4*(A24-A22)/360</f>
        <v>688.88888888888891</v>
      </c>
      <c r="E24" s="38"/>
      <c r="F24" s="39"/>
      <c r="G24" s="47"/>
      <c r="H24" s="24">
        <f>(XNPV($O$6,B24:$B$38,A24:$A$38)-B24)*((1+$O$6)^(1/365))</f>
        <v>27845.575335247722</v>
      </c>
      <c r="I24" s="41">
        <f t="shared" si="2"/>
        <v>28000</v>
      </c>
      <c r="J24" s="29">
        <f t="shared" si="0"/>
        <v>0</v>
      </c>
      <c r="K24" s="42">
        <f t="shared" si="1"/>
        <v>-154.42466475227781</v>
      </c>
      <c r="L24" s="33">
        <f t="shared" si="6"/>
        <v>0</v>
      </c>
      <c r="M24" s="28">
        <f t="shared" si="3"/>
        <v>475.12773601292974</v>
      </c>
      <c r="N24" s="29">
        <f t="shared" ref="N24" si="12">I23*O$4*(A24-A23-1)/360</f>
        <v>422.22222222222223</v>
      </c>
      <c r="O24" s="30">
        <f t="shared" si="4"/>
        <v>52.905513790707516</v>
      </c>
      <c r="P24" s="43">
        <v>0</v>
      </c>
      <c r="Q24" s="44"/>
      <c r="R24" s="33"/>
      <c r="V24" s="45" t="e">
        <f>N24-#REF!</f>
        <v>#REF!</v>
      </c>
      <c r="W24" s="7" t="e">
        <f>J24-#REF!</f>
        <v>#REF!</v>
      </c>
      <c r="X24" s="7">
        <f>ROUND((O23+O24),2)</f>
        <v>46.46</v>
      </c>
      <c r="Y24" s="46" t="s">
        <v>28</v>
      </c>
      <c r="Z24" s="7"/>
      <c r="AA24" s="7"/>
    </row>
    <row r="25" spans="1:27">
      <c r="A25" s="18">
        <v>41152</v>
      </c>
      <c r="B25" s="37">
        <f t="shared" si="5"/>
        <v>0</v>
      </c>
      <c r="C25" s="29"/>
      <c r="D25" s="29">
        <v>0</v>
      </c>
      <c r="E25" s="38"/>
      <c r="F25" s="39"/>
      <c r="G25" s="47"/>
      <c r="H25" s="24">
        <f>(XNPV($O$6,B25:$B$38,A25:$A$38)-B25)*((1+$O$6)^(1/365))</f>
        <v>28073.446356031782</v>
      </c>
      <c r="I25" s="41">
        <f t="shared" si="2"/>
        <v>28000</v>
      </c>
      <c r="J25" s="29">
        <f t="shared" si="0"/>
        <v>233.33333333333334</v>
      </c>
      <c r="K25" s="42">
        <f t="shared" si="1"/>
        <v>-159.88697730155164</v>
      </c>
      <c r="L25" s="33">
        <f t="shared" si="6"/>
        <v>0</v>
      </c>
      <c r="M25" s="28">
        <f t="shared" si="3"/>
        <v>227.87102078405951</v>
      </c>
      <c r="N25" s="29">
        <f t="shared" ref="N25" si="13">I24*O$4*(A25-A24+1)/360</f>
        <v>233.33333333333334</v>
      </c>
      <c r="O25" s="30">
        <f>M25-N25</f>
        <v>-5.4623125492738325</v>
      </c>
      <c r="P25" s="43">
        <v>0</v>
      </c>
      <c r="Q25" s="44">
        <f>M25/H23</f>
        <v>7.1077896720811388E-3</v>
      </c>
      <c r="R25" s="33"/>
      <c r="S25" s="2">
        <f>N24+N25-D25</f>
        <v>655.55555555555554</v>
      </c>
      <c r="T25" s="7">
        <f>O25+O24</f>
        <v>47.443201241433684</v>
      </c>
      <c r="U25" s="7">
        <f>M24+M25</f>
        <v>702.99875679698926</v>
      </c>
      <c r="V25" s="45" t="e">
        <f>N25-#REF!</f>
        <v>#REF!</v>
      </c>
      <c r="W25" s="7" t="e">
        <f>J25-#REF!</f>
        <v>#REF!</v>
      </c>
      <c r="X25" s="7"/>
      <c r="Z25" s="7"/>
      <c r="AA25" s="7"/>
    </row>
    <row r="26" spans="1:27">
      <c r="A26" s="18">
        <v>41172</v>
      </c>
      <c r="B26" s="37">
        <f t="shared" si="5"/>
        <v>4602.7777777777774</v>
      </c>
      <c r="C26" s="29">
        <v>4000</v>
      </c>
      <c r="D26" s="29">
        <f>I24*O$4*(A26-A24)/360</f>
        <v>602.77777777777783</v>
      </c>
      <c r="E26" s="38"/>
      <c r="F26" s="39"/>
      <c r="G26" s="47"/>
      <c r="H26" s="24">
        <f>(XNPV($O$6,B26:$B$38,A26:$A$38)-B26)*((1+$O$6)^(1/365))</f>
        <v>23886.356120071236</v>
      </c>
      <c r="I26" s="41">
        <f t="shared" si="2"/>
        <v>24000</v>
      </c>
      <c r="J26" s="29">
        <f t="shared" si="0"/>
        <v>0</v>
      </c>
      <c r="K26" s="42">
        <f t="shared" si="1"/>
        <v>-113.64387992876485</v>
      </c>
      <c r="L26" s="33">
        <f t="shared" si="6"/>
        <v>0</v>
      </c>
      <c r="M26" s="28">
        <f t="shared" si="3"/>
        <v>415.68754181723125</v>
      </c>
      <c r="N26" s="29">
        <f t="shared" ref="N26" si="14">I25*O$4*(A26-A25-1)/360</f>
        <v>369.44444444444446</v>
      </c>
      <c r="O26" s="30">
        <f t="shared" si="4"/>
        <v>46.243097372786792</v>
      </c>
      <c r="P26" s="43">
        <v>0</v>
      </c>
      <c r="Q26" s="44"/>
      <c r="R26" s="33"/>
      <c r="V26" s="45" t="e">
        <f>N26-#REF!</f>
        <v>#REF!</v>
      </c>
      <c r="W26" s="7" t="e">
        <f>J26-#REF!</f>
        <v>#REF!</v>
      </c>
      <c r="X26" s="7">
        <f>ROUND((O25+O26),2)</f>
        <v>40.78</v>
      </c>
      <c r="Y26" s="46" t="s">
        <v>28</v>
      </c>
      <c r="Z26" s="7"/>
      <c r="AA26" s="7"/>
    </row>
    <row r="27" spans="1:27">
      <c r="A27" s="18">
        <v>41182</v>
      </c>
      <c r="B27" s="37">
        <f t="shared" si="5"/>
        <v>0</v>
      </c>
      <c r="C27" s="29"/>
      <c r="D27" s="29">
        <v>0</v>
      </c>
      <c r="E27" s="38"/>
      <c r="F27" s="39"/>
      <c r="G27" s="47"/>
      <c r="H27" s="24">
        <f>(XNPV($O$6,B27:$B$38,A27:$A$38)-B27)*((1+$O$6)^(1/365))</f>
        <v>24063.991317668446</v>
      </c>
      <c r="I27" s="41">
        <f t="shared" si="2"/>
        <v>24000</v>
      </c>
      <c r="J27" s="29">
        <f t="shared" si="0"/>
        <v>183.33333333333334</v>
      </c>
      <c r="K27" s="42">
        <f t="shared" si="1"/>
        <v>-119.34201566488798</v>
      </c>
      <c r="L27" s="33">
        <f t="shared" si="6"/>
        <v>0</v>
      </c>
      <c r="M27" s="28">
        <f t="shared" si="3"/>
        <v>177.63519759721021</v>
      </c>
      <c r="N27" s="29">
        <f t="shared" ref="N27" si="15">I26*O$4*(A27-A26+1)/360</f>
        <v>183.33333333333334</v>
      </c>
      <c r="O27" s="30">
        <f t="shared" si="4"/>
        <v>-5.6981357361231346</v>
      </c>
      <c r="P27" s="43">
        <v>0</v>
      </c>
      <c r="Q27" s="44">
        <f>M27/H25</f>
        <v>6.3275165914584621E-3</v>
      </c>
      <c r="R27" s="33"/>
      <c r="S27" s="2">
        <f>N26+N27-D27</f>
        <v>552.77777777777783</v>
      </c>
      <c r="T27" s="7">
        <f>O27+O26</f>
        <v>40.544961636663658</v>
      </c>
      <c r="U27" s="7">
        <f>M26+M27</f>
        <v>593.32273941444146</v>
      </c>
      <c r="V27" s="45" t="e">
        <f>N27-#REF!</f>
        <v>#REF!</v>
      </c>
      <c r="W27" s="7" t="e">
        <f>J27-#REF!</f>
        <v>#REF!</v>
      </c>
      <c r="X27" s="7"/>
      <c r="Z27" s="7"/>
      <c r="AA27" s="7"/>
    </row>
    <row r="28" spans="1:27">
      <c r="A28" s="18">
        <v>41202</v>
      </c>
      <c r="B28" s="37">
        <f t="shared" si="5"/>
        <v>4500</v>
      </c>
      <c r="C28" s="29">
        <v>4000</v>
      </c>
      <c r="D28" s="29">
        <f>I26*O$4*(A28-A26)/360</f>
        <v>500</v>
      </c>
      <c r="E28" s="38"/>
      <c r="F28" s="39"/>
      <c r="G28" s="47"/>
      <c r="H28" s="24">
        <f>(XNPV($O$6,B28:$B$38,A28:$A$38)-B28)*((1+$O$6)^(1/365))</f>
        <v>19919.899225879293</v>
      </c>
      <c r="I28" s="41">
        <f t="shared" si="2"/>
        <v>20000</v>
      </c>
      <c r="J28" s="29">
        <f t="shared" si="0"/>
        <v>0</v>
      </c>
      <c r="K28" s="42">
        <f t="shared" si="1"/>
        <v>-80.100774120707285</v>
      </c>
      <c r="L28" s="33">
        <f t="shared" si="6"/>
        <v>0</v>
      </c>
      <c r="M28" s="28">
        <f t="shared" si="3"/>
        <v>355.90790821084738</v>
      </c>
      <c r="N28" s="29">
        <f t="shared" ref="N28" si="16">I27*O$4*(A28-A27-1)/360</f>
        <v>316.66666666666669</v>
      </c>
      <c r="O28" s="30">
        <f t="shared" si="4"/>
        <v>39.241241544180696</v>
      </c>
      <c r="P28" s="43">
        <v>0</v>
      </c>
      <c r="Q28" s="44"/>
      <c r="R28" s="33"/>
      <c r="V28" s="45" t="e">
        <f>N28-#REF!</f>
        <v>#REF!</v>
      </c>
      <c r="W28" s="7" t="e">
        <f>J28-#REF!</f>
        <v>#REF!</v>
      </c>
      <c r="X28" s="7">
        <f>ROUND((O27+O28),2)</f>
        <v>33.54</v>
      </c>
      <c r="Y28" s="46" t="s">
        <v>28</v>
      </c>
      <c r="Z28" s="7"/>
      <c r="AA28" s="7"/>
    </row>
    <row r="29" spans="1:27">
      <c r="A29" s="18">
        <v>41213</v>
      </c>
      <c r="B29" s="37">
        <f t="shared" si="5"/>
        <v>0</v>
      </c>
      <c r="C29" s="29"/>
      <c r="D29" s="29">
        <v>0</v>
      </c>
      <c r="E29" s="38"/>
      <c r="F29" s="39"/>
      <c r="G29" s="47"/>
      <c r="H29" s="24">
        <f>(XNPV($O$6,B29:$B$38,A29:$A$38)-B29)*((1+$O$6)^(1/365))</f>
        <v>20082.911399837532</v>
      </c>
      <c r="I29" s="41">
        <f t="shared" si="2"/>
        <v>20000</v>
      </c>
      <c r="J29" s="29">
        <f t="shared" si="0"/>
        <v>166.66666666666666</v>
      </c>
      <c r="K29" s="42">
        <f t="shared" si="1"/>
        <v>-83.755266829134797</v>
      </c>
      <c r="L29" s="33">
        <f t="shared" si="6"/>
        <v>0</v>
      </c>
      <c r="M29" s="28">
        <f t="shared" si="3"/>
        <v>163.01217395823915</v>
      </c>
      <c r="N29" s="29">
        <f t="shared" ref="N29" si="17">I28*O$4*(A29-A28+1)/360</f>
        <v>166.66666666666666</v>
      </c>
      <c r="O29" s="30">
        <f t="shared" si="4"/>
        <v>-3.6544927084275116</v>
      </c>
      <c r="P29" s="43">
        <v>0</v>
      </c>
      <c r="Q29" s="44">
        <f>M29/H27</f>
        <v>6.7741120667106922E-3</v>
      </c>
      <c r="R29" s="33"/>
      <c r="S29" s="2">
        <f>N28+N29-D29</f>
        <v>483.33333333333337</v>
      </c>
      <c r="T29" s="7">
        <f>O29+O28</f>
        <v>35.586748835753184</v>
      </c>
      <c r="U29" s="7">
        <f>M28+M29</f>
        <v>518.92008216908653</v>
      </c>
      <c r="V29" s="45" t="e">
        <f>N29-#REF!</f>
        <v>#REF!</v>
      </c>
      <c r="W29" s="7" t="e">
        <f>J29-#REF!</f>
        <v>#REF!</v>
      </c>
      <c r="X29" s="7"/>
      <c r="Z29" s="7"/>
      <c r="AA29" s="7"/>
    </row>
    <row r="30" spans="1:27">
      <c r="A30" s="18">
        <v>41233</v>
      </c>
      <c r="B30" s="37">
        <f t="shared" si="5"/>
        <v>4430.5555555555557</v>
      </c>
      <c r="C30" s="29">
        <v>4000</v>
      </c>
      <c r="D30" s="29">
        <f>I28*O$4*(A30-A28)/360</f>
        <v>430.55555555555554</v>
      </c>
      <c r="E30" s="38"/>
      <c r="F30" s="39"/>
      <c r="G30" s="47"/>
      <c r="H30" s="24">
        <f>(XNPV($O$6,B30:$B$38,A30:$A$38)-B30)*((1+$O$6)^(1/365))</f>
        <v>15948.883015191403</v>
      </c>
      <c r="I30" s="41">
        <f t="shared" si="2"/>
        <v>16000</v>
      </c>
      <c r="J30" s="29">
        <f t="shared" si="0"/>
        <v>0</v>
      </c>
      <c r="K30" s="42">
        <f t="shared" si="1"/>
        <v>-51.116984808597834</v>
      </c>
      <c r="L30" s="33">
        <f t="shared" si="6"/>
        <v>0</v>
      </c>
      <c r="M30" s="28">
        <f t="shared" si="3"/>
        <v>296.52717090942588</v>
      </c>
      <c r="N30" s="29">
        <f t="shared" ref="N30" si="18">I29*O$4*(A30-A29-1)/360</f>
        <v>263.88888888888891</v>
      </c>
      <c r="O30" s="30">
        <f t="shared" si="4"/>
        <v>32.638282020536963</v>
      </c>
      <c r="P30" s="43">
        <v>0</v>
      </c>
      <c r="Q30" s="44"/>
      <c r="R30" s="33"/>
      <c r="V30" s="45" t="e">
        <f>N30-#REF!</f>
        <v>#REF!</v>
      </c>
      <c r="W30" s="7" t="e">
        <f>J30-#REF!</f>
        <v>#REF!</v>
      </c>
      <c r="X30" s="7">
        <f>ROUND((O29+O30),2)</f>
        <v>28.98</v>
      </c>
      <c r="Y30" s="46" t="s">
        <v>28</v>
      </c>
      <c r="Z30" s="7"/>
      <c r="AA30" s="7"/>
    </row>
    <row r="31" spans="1:27">
      <c r="A31" s="18">
        <v>41243</v>
      </c>
      <c r="B31" s="37">
        <f t="shared" si="5"/>
        <v>0</v>
      </c>
      <c r="C31" s="29"/>
      <c r="D31" s="29">
        <v>0</v>
      </c>
      <c r="E31" s="38"/>
      <c r="F31" s="39"/>
      <c r="G31" s="47"/>
      <c r="H31" s="24">
        <f>(XNPV($O$6,B31:$B$38,A31:$A$38)-B31)*((1+$O$6)^(1/365))</f>
        <v>16067.489761721388</v>
      </c>
      <c r="I31" s="41">
        <f t="shared" si="2"/>
        <v>16000</v>
      </c>
      <c r="J31" s="29">
        <f t="shared" si="0"/>
        <v>122.22222222222223</v>
      </c>
      <c r="K31" s="42">
        <f t="shared" si="1"/>
        <v>-54.732460500834378</v>
      </c>
      <c r="L31" s="33">
        <f t="shared" si="6"/>
        <v>0</v>
      </c>
      <c r="M31" s="28">
        <f t="shared" si="3"/>
        <v>118.60674652998568</v>
      </c>
      <c r="N31" s="29">
        <f t="shared" ref="N31" si="19">I30*O$4*(A31-A30+1)/360</f>
        <v>122.22222222222223</v>
      </c>
      <c r="O31" s="30">
        <f t="shared" si="4"/>
        <v>-3.6154756922365436</v>
      </c>
      <c r="P31" s="43">
        <v>0</v>
      </c>
      <c r="Q31" s="44">
        <f>M31/H29</f>
        <v>5.9058541945738599E-3</v>
      </c>
      <c r="R31" s="33"/>
      <c r="S31" s="2">
        <f>N30+N31-D31</f>
        <v>386.11111111111114</v>
      </c>
      <c r="T31" s="7">
        <f>O31+O30</f>
        <v>29.022806328300419</v>
      </c>
      <c r="U31" s="7">
        <f>M30+M31</f>
        <v>415.13391743941156</v>
      </c>
      <c r="V31" s="45" t="e">
        <f>N31-#REF!</f>
        <v>#REF!</v>
      </c>
      <c r="W31" s="7" t="e">
        <f>J31-#REF!</f>
        <v>#REF!</v>
      </c>
      <c r="X31" s="7"/>
      <c r="Z31" s="7"/>
      <c r="AA31" s="7"/>
    </row>
    <row r="32" spans="1:27">
      <c r="A32" s="18">
        <v>41263</v>
      </c>
      <c r="B32" s="37">
        <f t="shared" si="5"/>
        <v>4333.333333333333</v>
      </c>
      <c r="C32" s="29">
        <v>4000</v>
      </c>
      <c r="D32" s="29">
        <f>I30*O$4*(A32-A30)/360</f>
        <v>333.33333333333331</v>
      </c>
      <c r="E32" s="38"/>
      <c r="F32" s="39"/>
      <c r="G32" s="47"/>
      <c r="H32" s="24">
        <f>(XNPV($O$6,B32:$B$38,A32:$A$38)-B32)*((1+$O$6)^(1/365))</f>
        <v>11970.810774593634</v>
      </c>
      <c r="I32" s="41">
        <f t="shared" si="2"/>
        <v>12000</v>
      </c>
      <c r="J32" s="29">
        <f t="shared" si="0"/>
        <v>0</v>
      </c>
      <c r="K32" s="42">
        <f t="shared" si="1"/>
        <v>-29.189225406366688</v>
      </c>
      <c r="L32" s="33">
        <f t="shared" si="6"/>
        <v>0</v>
      </c>
      <c r="M32" s="28">
        <f t="shared" si="3"/>
        <v>236.6543462055788</v>
      </c>
      <c r="N32" s="29">
        <f t="shared" ref="N32" si="20">I31*O$4*(A32-A31-1)/360</f>
        <v>211.11111111111111</v>
      </c>
      <c r="O32" s="30">
        <f t="shared" si="4"/>
        <v>25.54323509446769</v>
      </c>
      <c r="P32" s="43">
        <v>0</v>
      </c>
      <c r="Q32" s="44"/>
      <c r="R32" s="33"/>
      <c r="V32" s="45" t="e">
        <f>N32-#REF!</f>
        <v>#REF!</v>
      </c>
      <c r="W32" s="7" t="e">
        <f>J32-#REF!</f>
        <v>#REF!</v>
      </c>
      <c r="X32" s="7">
        <f>ROUND((O31+O32),2)</f>
        <v>21.93</v>
      </c>
      <c r="Y32" s="46" t="s">
        <v>28</v>
      </c>
      <c r="Z32" s="7"/>
      <c r="AA32" s="7"/>
    </row>
    <row r="33" spans="1:27">
      <c r="A33" s="18">
        <v>41274</v>
      </c>
      <c r="B33" s="37">
        <f t="shared" si="5"/>
        <v>0</v>
      </c>
      <c r="C33" s="29"/>
      <c r="D33" s="29">
        <v>0</v>
      </c>
      <c r="E33" s="38"/>
      <c r="F33" s="39"/>
      <c r="G33" s="47"/>
      <c r="H33" s="24">
        <f>(XNPV($O$6,B33:$B$38,A33:$A$38)-B33)*((1+$O$6)^(1/365))</f>
        <v>12068.772509554326</v>
      </c>
      <c r="I33" s="41">
        <f t="shared" si="2"/>
        <v>12000</v>
      </c>
      <c r="J33" s="29">
        <f t="shared" si="0"/>
        <v>100</v>
      </c>
      <c r="K33" s="42">
        <f t="shared" si="1"/>
        <v>-31.227490445674277</v>
      </c>
      <c r="L33" s="33">
        <f t="shared" si="6"/>
        <v>0</v>
      </c>
      <c r="M33" s="28">
        <f t="shared" si="3"/>
        <v>97.961734960692411</v>
      </c>
      <c r="N33" s="29">
        <f t="shared" ref="N33" si="21">I32*O$4*(A33-A32+1)/360</f>
        <v>100</v>
      </c>
      <c r="O33" s="30">
        <f t="shared" si="4"/>
        <v>-2.0382650393075892</v>
      </c>
      <c r="P33" s="43">
        <v>0</v>
      </c>
      <c r="Q33" s="44">
        <f>M33/H31</f>
        <v>6.0968910771658268E-3</v>
      </c>
      <c r="R33" s="33"/>
      <c r="S33" s="2">
        <f>N32+N33-D33</f>
        <v>311.11111111111109</v>
      </c>
      <c r="T33" s="7">
        <f>O33+O32</f>
        <v>23.504970055160101</v>
      </c>
      <c r="U33" s="7">
        <f>M32+M33</f>
        <v>334.61608116627121</v>
      </c>
      <c r="V33" s="45" t="e">
        <f>N33-#REF!</f>
        <v>#REF!</v>
      </c>
      <c r="W33" s="7" t="e">
        <f>J33-#REF!</f>
        <v>#REF!</v>
      </c>
      <c r="X33" s="7"/>
      <c r="Z33" s="7"/>
      <c r="AA33" s="7"/>
    </row>
    <row r="34" spans="1:27">
      <c r="A34" s="18">
        <v>41294</v>
      </c>
      <c r="B34" s="37">
        <f t="shared" si="5"/>
        <v>4258.333333333333</v>
      </c>
      <c r="C34" s="29">
        <v>4000</v>
      </c>
      <c r="D34" s="29">
        <f>I32*O$4*(A34-A32)/360</f>
        <v>258.33333333333331</v>
      </c>
      <c r="E34" s="38"/>
      <c r="F34" s="39"/>
      <c r="G34" s="47"/>
      <c r="H34" s="24">
        <f>(XNPV($O$6,B34:$B$38,A34:$A$38)-B34)*((1+$O$6)^(1/365))</f>
        <v>7987.4536009951353</v>
      </c>
      <c r="I34" s="41">
        <f t="shared" si="2"/>
        <v>8000</v>
      </c>
      <c r="J34" s="29">
        <f t="shared" si="0"/>
        <v>0</v>
      </c>
      <c r="K34" s="42">
        <f t="shared" si="1"/>
        <v>-12.546399004865776</v>
      </c>
      <c r="L34" s="33">
        <f t="shared" si="6"/>
        <v>0</v>
      </c>
      <c r="M34" s="28">
        <f t="shared" si="3"/>
        <v>177.01442477414184</v>
      </c>
      <c r="N34" s="29">
        <f t="shared" ref="N34" si="22">I33*O$4*(A34-A33-1)/360</f>
        <v>158.33333333333334</v>
      </c>
      <c r="O34" s="30">
        <f t="shared" si="4"/>
        <v>18.681091440808501</v>
      </c>
      <c r="P34" s="43">
        <v>0</v>
      </c>
      <c r="Q34" s="44"/>
      <c r="R34" s="33"/>
      <c r="V34" s="45" t="e">
        <f>N34-#REF!</f>
        <v>#REF!</v>
      </c>
      <c r="W34" s="7" t="e">
        <f>J34-#REF!</f>
        <v>#REF!</v>
      </c>
      <c r="X34" s="7">
        <f>ROUND((O33+O34),2)</f>
        <v>16.64</v>
      </c>
      <c r="Y34" s="46" t="s">
        <v>28</v>
      </c>
      <c r="Z34" s="7"/>
      <c r="AA34" s="7"/>
    </row>
    <row r="35" spans="1:27">
      <c r="A35" s="18">
        <v>41305</v>
      </c>
      <c r="B35" s="37">
        <f t="shared" si="5"/>
        <v>0</v>
      </c>
      <c r="C35" s="29"/>
      <c r="D35" s="29">
        <v>0</v>
      </c>
      <c r="E35" s="38"/>
      <c r="F35" s="39"/>
      <c r="G35" s="47"/>
      <c r="H35" s="24">
        <f>(XNPV($O$6,B35:$B$38,A35:$A$38)-B35)*((1+$O$6)^(1/365))</f>
        <v>8052.8179967244687</v>
      </c>
      <c r="I35" s="41">
        <f t="shared" si="2"/>
        <v>8000</v>
      </c>
      <c r="J35" s="29">
        <f t="shared" si="0"/>
        <v>66.666666666666671</v>
      </c>
      <c r="K35" s="42">
        <f t="shared" si="1"/>
        <v>-13.848669942199038</v>
      </c>
      <c r="L35" s="33">
        <f t="shared" si="6"/>
        <v>0</v>
      </c>
      <c r="M35" s="28">
        <f t="shared" si="3"/>
        <v>65.36439572933341</v>
      </c>
      <c r="N35" s="29">
        <f t="shared" ref="N35" si="23">I34*O$4*(A35-A34+1)/360</f>
        <v>66.666666666666671</v>
      </c>
      <c r="O35" s="30">
        <f t="shared" si="4"/>
        <v>-1.3022709373332617</v>
      </c>
      <c r="P35" s="43">
        <v>0</v>
      </c>
      <c r="Q35" s="44">
        <f>M35/H33</f>
        <v>5.4159936876419902E-3</v>
      </c>
      <c r="R35" s="33"/>
      <c r="S35" s="2">
        <f>N34+N35-D35</f>
        <v>225</v>
      </c>
      <c r="T35" s="7">
        <f>O35+O34</f>
        <v>17.378820503475239</v>
      </c>
      <c r="U35" s="7">
        <f>M34+M35</f>
        <v>242.37882050347525</v>
      </c>
      <c r="V35" s="45" t="e">
        <f>N35-#REF!</f>
        <v>#REF!</v>
      </c>
      <c r="W35" s="7" t="e">
        <f>J35-#REF!</f>
        <v>#REF!</v>
      </c>
      <c r="X35" s="7"/>
      <c r="Z35" s="7"/>
      <c r="AA35" s="7"/>
    </row>
    <row r="36" spans="1:27">
      <c r="A36" s="18">
        <v>41325</v>
      </c>
      <c r="B36" s="37">
        <f t="shared" si="5"/>
        <v>4172.2222222222226</v>
      </c>
      <c r="C36" s="29">
        <v>4000</v>
      </c>
      <c r="D36" s="29">
        <f>I34*O$4*(A36-A34)/360</f>
        <v>172.22222222222223</v>
      </c>
      <c r="E36" s="38"/>
      <c r="F36" s="39"/>
      <c r="G36" s="47"/>
      <c r="H36" s="24">
        <f>(XNPV($O$6,B36:$B$38,A36:$A$38)-B36)*((1+$O$6)^(1/365))</f>
        <v>3997.7211840086838</v>
      </c>
      <c r="I36" s="41">
        <f t="shared" si="2"/>
        <v>4000</v>
      </c>
      <c r="J36" s="29">
        <f t="shared" si="0"/>
        <v>0</v>
      </c>
      <c r="K36" s="42">
        <f t="shared" si="1"/>
        <v>-2.2788159913168045</v>
      </c>
      <c r="L36" s="33">
        <f t="shared" si="6"/>
        <v>0</v>
      </c>
      <c r="M36" s="28">
        <f t="shared" si="3"/>
        <v>117.12540950643779</v>
      </c>
      <c r="N36" s="29">
        <f t="shared" ref="N36" si="24">I35*O$4*(A36-A35-1)/360</f>
        <v>105.55555555555556</v>
      </c>
      <c r="O36" s="30">
        <f t="shared" si="4"/>
        <v>11.569853950882234</v>
      </c>
      <c r="P36" s="43">
        <v>0</v>
      </c>
      <c r="Q36" s="44"/>
      <c r="R36" s="33"/>
      <c r="V36" s="45" t="e">
        <f>N36-#REF!</f>
        <v>#REF!</v>
      </c>
      <c r="W36" s="7" t="e">
        <f>J36-#REF!</f>
        <v>#REF!</v>
      </c>
      <c r="X36" s="7">
        <f>ROUND((O35+O36),2)</f>
        <v>10.27</v>
      </c>
      <c r="Y36" s="46" t="s">
        <v>28</v>
      </c>
      <c r="Z36" s="7"/>
      <c r="AA36" s="7"/>
    </row>
    <row r="37" spans="1:27">
      <c r="A37" s="18">
        <v>41333</v>
      </c>
      <c r="B37" s="37">
        <f t="shared" si="5"/>
        <v>0</v>
      </c>
      <c r="C37" s="29"/>
      <c r="D37" s="29">
        <v>0</v>
      </c>
      <c r="E37" s="38"/>
      <c r="F37" s="39"/>
      <c r="G37" s="47"/>
      <c r="H37" s="24">
        <f>(XNPV($O$6,B37:$B$38,A37:$A$38)-B37)*((1+$O$6)^(1/365))</f>
        <v>4021.4873691226703</v>
      </c>
      <c r="I37" s="41">
        <f t="shared" si="2"/>
        <v>4000</v>
      </c>
      <c r="J37" s="29">
        <f t="shared" si="0"/>
        <v>25</v>
      </c>
      <c r="K37" s="42">
        <f t="shared" si="1"/>
        <v>-3.5126308773303379</v>
      </c>
      <c r="L37" s="33">
        <f t="shared" si="6"/>
        <v>0</v>
      </c>
      <c r="M37" s="28">
        <f t="shared" si="3"/>
        <v>23.766185113986467</v>
      </c>
      <c r="N37" s="29">
        <f t="shared" ref="N37" si="25">I36*O$4*(A37-A36+1)/360</f>
        <v>25</v>
      </c>
      <c r="O37" s="30">
        <f t="shared" si="4"/>
        <v>-1.2338148860135334</v>
      </c>
      <c r="P37" s="43">
        <v>0</v>
      </c>
      <c r="Q37" s="44">
        <f>M37/H35</f>
        <v>2.9512879992635503E-3</v>
      </c>
      <c r="R37" s="33"/>
      <c r="S37" s="2">
        <f>N36+N37-D37</f>
        <v>130.55555555555554</v>
      </c>
      <c r="T37" s="7">
        <f>O37+O36</f>
        <v>10.3360390648687</v>
      </c>
      <c r="U37" s="7">
        <f>M36+M37</f>
        <v>140.89159462042426</v>
      </c>
      <c r="V37" s="45" t="e">
        <f>N37-#REF!</f>
        <v>#REF!</v>
      </c>
      <c r="W37" s="7" t="e">
        <f>J37-#REF!</f>
        <v>#REF!</v>
      </c>
      <c r="X37" s="7"/>
      <c r="Z37" s="7"/>
      <c r="AA37" s="7"/>
    </row>
    <row r="38" spans="1:27" ht="15.75" thickBot="1">
      <c r="A38" s="18">
        <v>41350</v>
      </c>
      <c r="B38" s="37">
        <f t="shared" si="5"/>
        <v>4069.4444444444443</v>
      </c>
      <c r="C38" s="29">
        <v>4000</v>
      </c>
      <c r="D38" s="29">
        <f>I36*O$4*(A38-A36)/360</f>
        <v>69.444444444444443</v>
      </c>
      <c r="E38" s="38"/>
      <c r="F38" s="39"/>
      <c r="G38" s="47"/>
      <c r="H38" s="24">
        <f>(XNPV($O$6,B38:$B$38,A38:$A$38)-B38)*((1+$O$6)^(1/365))</f>
        <v>0</v>
      </c>
      <c r="I38" s="41">
        <f t="shared" si="2"/>
        <v>0</v>
      </c>
      <c r="J38" s="29">
        <f t="shared" si="0"/>
        <v>0</v>
      </c>
      <c r="K38" s="42">
        <f>K37+O38</f>
        <v>-7.531752999057062E-13</v>
      </c>
      <c r="L38" s="33">
        <f t="shared" si="6"/>
        <v>0</v>
      </c>
      <c r="M38" s="28">
        <f t="shared" si="3"/>
        <v>47.957075321774028</v>
      </c>
      <c r="N38" s="29">
        <f t="shared" ref="N38" si="26">I37*O$4*(A38-A37-1)/360</f>
        <v>44.444444444444443</v>
      </c>
      <c r="O38" s="30">
        <f t="shared" si="4"/>
        <v>3.5126308773295847</v>
      </c>
      <c r="P38" s="43">
        <v>0</v>
      </c>
      <c r="Q38" s="44"/>
      <c r="R38" s="33"/>
      <c r="V38" s="45" t="e">
        <f>N38-#REF!</f>
        <v>#REF!</v>
      </c>
      <c r="W38" s="7" t="e">
        <f>J38-#REF!</f>
        <v>#REF!</v>
      </c>
      <c r="X38" s="7">
        <f>ROUND((O37+O38),2)</f>
        <v>2.2799999999999998</v>
      </c>
      <c r="Y38" s="46" t="s">
        <v>28</v>
      </c>
      <c r="Z38" s="7"/>
      <c r="AA38" s="7"/>
    </row>
    <row r="39" spans="1:27" ht="16.5" thickTop="1" thickBot="1">
      <c r="A39" s="48" t="s">
        <v>29</v>
      </c>
      <c r="B39" s="49">
        <f>SUM(B15:B38)</f>
        <v>54716.666666666679</v>
      </c>
      <c r="C39" s="49">
        <f>SUM(C15:C38)</f>
        <v>48000</v>
      </c>
      <c r="D39" s="49">
        <f>SUM(D15:D38)</f>
        <v>6716.6666666666661</v>
      </c>
      <c r="E39" s="50" t="s">
        <v>30</v>
      </c>
      <c r="F39" s="51" t="s">
        <v>30</v>
      </c>
      <c r="G39" s="52"/>
      <c r="H39" s="53" t="s">
        <v>30</v>
      </c>
      <c r="I39" s="54" t="s">
        <v>30</v>
      </c>
      <c r="J39" s="55" t="s">
        <v>30</v>
      </c>
      <c r="K39" s="56" t="s">
        <v>30</v>
      </c>
      <c r="L39" s="54" t="s">
        <v>30</v>
      </c>
      <c r="M39" s="57">
        <f>SUM(M13:M38)</f>
        <v>7196.6666666666661</v>
      </c>
      <c r="N39" s="58">
        <f>SUM(N13:N38)</f>
        <v>6716.666666666667</v>
      </c>
      <c r="O39" s="59">
        <f>SUM(O13:O38)</f>
        <v>479.99999999999903</v>
      </c>
      <c r="P39" s="60">
        <f>SUM(P16:P38)</f>
        <v>0</v>
      </c>
      <c r="Q39" s="61" t="s">
        <v>24</v>
      </c>
      <c r="R39" s="33"/>
      <c r="S39" s="62">
        <f>SUM(S13:S38)</f>
        <v>6083.3333333333339</v>
      </c>
      <c r="X39" s="7"/>
    </row>
    <row r="40" spans="1:27">
      <c r="C40" s="7"/>
      <c r="D40" s="7"/>
      <c r="N40" s="63"/>
      <c r="O40" s="64"/>
      <c r="P40" s="65"/>
    </row>
    <row r="41" spans="1:27">
      <c r="N41" s="66"/>
      <c r="O41" s="66"/>
      <c r="P41" s="65"/>
    </row>
    <row r="42" spans="1:27">
      <c r="N42" s="66"/>
      <c r="O42" s="66"/>
      <c r="P42" s="65"/>
    </row>
    <row r="43" spans="1:27" ht="15.75" thickBot="1">
      <c r="N43" s="65"/>
      <c r="O43" s="65"/>
      <c r="P43" s="65"/>
    </row>
    <row r="44" spans="1:27" ht="15.75" thickBot="1">
      <c r="E44" s="67"/>
      <c r="G44" s="68" t="e">
        <f>#REF!-#REF!</f>
        <v>#REF!</v>
      </c>
      <c r="N44" s="65"/>
      <c r="O44" s="65"/>
      <c r="P44" s="65"/>
    </row>
    <row r="45" spans="1:27">
      <c r="G45" s="45" t="e">
        <f>ROUND(NPV(#REF!,#REF!),0)-ROUND(NPV(#REF!,#REF!),0)</f>
        <v>#REF!</v>
      </c>
    </row>
    <row r="46" spans="1:27">
      <c r="G46" s="45" t="e">
        <f>ROUND(NPV(#REF!,#REF!)-NPV(#REF!,#REF!),0)</f>
        <v>#REF!</v>
      </c>
    </row>
    <row r="47" spans="1:27">
      <c r="G47" s="45"/>
    </row>
  </sheetData>
  <mergeCells count="23">
    <mergeCell ref="Q9:Q12"/>
    <mergeCell ref="X9:Y12"/>
    <mergeCell ref="G11:G12"/>
    <mergeCell ref="H11:H12"/>
    <mergeCell ref="N11:N12"/>
    <mergeCell ref="O11:O12"/>
    <mergeCell ref="P11:P12"/>
    <mergeCell ref="N2:P2"/>
    <mergeCell ref="A9:A12"/>
    <mergeCell ref="B9:E10"/>
    <mergeCell ref="F9:F12"/>
    <mergeCell ref="H9:L10"/>
    <mergeCell ref="M9:O10"/>
    <mergeCell ref="P9:P10"/>
    <mergeCell ref="L11:L12"/>
    <mergeCell ref="I11:I12"/>
    <mergeCell ref="J11:J12"/>
    <mergeCell ref="K11:K12"/>
    <mergeCell ref="B2:D2"/>
    <mergeCell ref="H2:L2"/>
    <mergeCell ref="C11:C12"/>
    <mergeCell ref="D11:D12"/>
    <mergeCell ref="E11:E1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S46"/>
  <sheetViews>
    <sheetView workbookViewId="0">
      <selection activeCell="E26" sqref="E26"/>
    </sheetView>
  </sheetViews>
  <sheetFormatPr defaultRowHeight="15"/>
  <cols>
    <col min="1" max="1" width="12" customWidth="1"/>
    <col min="2" max="3" width="14.7109375" customWidth="1"/>
    <col min="4" max="4" width="13.140625" customWidth="1"/>
    <col min="5" max="5" width="10" customWidth="1"/>
    <col min="6" max="6" width="9.42578125" hidden="1" customWidth="1"/>
    <col min="7" max="7" width="13.85546875" hidden="1" customWidth="1"/>
    <col min="8" max="8" width="13.5703125" customWidth="1"/>
    <col min="9" max="9" width="12.7109375" customWidth="1"/>
    <col min="10" max="10" width="13.42578125" customWidth="1"/>
    <col min="11" max="11" width="12.7109375" customWidth="1"/>
    <col min="12" max="12" width="9.28515625" hidden="1" customWidth="1"/>
    <col min="13" max="13" width="12.28515625" customWidth="1"/>
    <col min="14" max="14" width="15.42578125" customWidth="1"/>
    <col min="15" max="15" width="14.140625" customWidth="1"/>
    <col min="16" max="16" width="11.42578125" hidden="1" customWidth="1"/>
    <col min="17" max="17" width="11.28515625" hidden="1" customWidth="1"/>
    <col min="18" max="18" width="0.7109375" customWidth="1"/>
    <col min="19" max="19" width="12.140625" style="2" hidden="1" customWidth="1"/>
    <col min="20" max="21" width="0" hidden="1" customWidth="1"/>
    <col min="22" max="22" width="11.28515625" hidden="1" customWidth="1"/>
    <col min="23" max="24" width="0" hidden="1" customWidth="1"/>
    <col min="25" max="25" width="49.28515625" hidden="1" customWidth="1"/>
    <col min="26" max="26" width="11.28515625" customWidth="1"/>
    <col min="27" max="28" width="9.85546875" bestFit="1" customWidth="1"/>
    <col min="34" max="34" width="10" customWidth="1"/>
    <col min="35" max="36" width="13.42578125" customWidth="1"/>
    <col min="37" max="37" width="15.28515625" customWidth="1"/>
    <col min="38" max="38" width="12.28515625" customWidth="1"/>
    <col min="39" max="39" width="9.85546875" bestFit="1" customWidth="1"/>
    <col min="41" max="41" width="17.7109375" customWidth="1"/>
    <col min="42" max="42" width="19.5703125" customWidth="1"/>
    <col min="43" max="44" width="18.42578125" customWidth="1"/>
    <col min="45" max="45" width="9.85546875" bestFit="1" customWidth="1"/>
  </cols>
  <sheetData>
    <row r="1" spans="1:45">
      <c r="A1" s="242" t="s">
        <v>31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Z1" s="242" t="s">
        <v>32</v>
      </c>
      <c r="AA1" s="242"/>
      <c r="AB1" s="242"/>
      <c r="AC1" s="242"/>
      <c r="AD1" s="242"/>
      <c r="AE1" s="242"/>
      <c r="AF1" s="242"/>
      <c r="AG1" s="242"/>
      <c r="AH1" s="242"/>
      <c r="AI1" s="242"/>
      <c r="AJ1" s="242"/>
      <c r="AK1" s="242"/>
      <c r="AL1" s="242"/>
      <c r="AM1" s="242"/>
      <c r="AN1" s="242"/>
      <c r="AO1" s="242"/>
      <c r="AP1" s="242"/>
      <c r="AQ1" s="242"/>
      <c r="AR1" s="148"/>
    </row>
    <row r="2" spans="1:45">
      <c r="B2" s="199"/>
      <c r="C2" s="199"/>
      <c r="D2" s="199"/>
      <c r="H2" s="199"/>
      <c r="I2" s="199"/>
      <c r="J2" s="199"/>
      <c r="K2" s="199"/>
      <c r="L2" s="199"/>
      <c r="N2" s="199" t="s">
        <v>0</v>
      </c>
      <c r="O2" s="199"/>
      <c r="P2" s="199"/>
      <c r="Q2" s="1"/>
      <c r="AA2" s="199"/>
      <c r="AB2" s="199"/>
      <c r="AC2" s="199"/>
      <c r="AF2" s="199"/>
      <c r="AG2" s="199"/>
      <c r="AH2" s="199"/>
      <c r="AI2" s="199"/>
      <c r="AJ2" s="199"/>
      <c r="AK2" s="199"/>
      <c r="AL2" s="199"/>
      <c r="AM2" s="199"/>
      <c r="AO2" s="199" t="s">
        <v>0</v>
      </c>
      <c r="AP2" s="199"/>
      <c r="AQ2" s="199"/>
      <c r="AR2" s="199"/>
      <c r="AS2" s="199"/>
    </row>
    <row r="4" spans="1:45">
      <c r="B4" s="3"/>
      <c r="N4" s="3" t="s">
        <v>1</v>
      </c>
      <c r="O4" s="4">
        <v>0.25</v>
      </c>
      <c r="AA4" s="3"/>
      <c r="AO4" s="3" t="s">
        <v>1</v>
      </c>
      <c r="AP4" s="3"/>
      <c r="AQ4" s="4">
        <v>0.25</v>
      </c>
      <c r="AR4" s="149"/>
    </row>
    <row r="5" spans="1:45">
      <c r="B5" s="3"/>
      <c r="AA5" s="3"/>
    </row>
    <row r="6" spans="1:45">
      <c r="B6" s="3"/>
      <c r="N6" s="3" t="s">
        <v>2</v>
      </c>
      <c r="O6" s="4">
        <f>XIRR(B13:B37,A13:A37)</f>
        <v>0.31053376793861398</v>
      </c>
      <c r="S6" s="5"/>
      <c r="T6" s="6"/>
      <c r="AA6" s="3"/>
      <c r="AO6" s="3" t="s">
        <v>2</v>
      </c>
      <c r="AP6" s="3"/>
      <c r="AQ6" s="4">
        <f>O6</f>
        <v>0.31053376793861398</v>
      </c>
      <c r="AR6" s="149"/>
    </row>
    <row r="7" spans="1:45">
      <c r="B7" s="3"/>
      <c r="AA7" s="3"/>
    </row>
    <row r="8" spans="1:45" ht="15.75" thickBot="1">
      <c r="C8" s="7"/>
      <c r="D8" s="7"/>
      <c r="H8" s="7"/>
      <c r="I8" s="7"/>
      <c r="AB8" s="7"/>
      <c r="AC8" s="7"/>
      <c r="AF8" s="7"/>
      <c r="AG8" s="7"/>
      <c r="AH8" s="7"/>
    </row>
    <row r="9" spans="1:45" ht="15.75" thickTop="1">
      <c r="A9" s="200" t="s">
        <v>3</v>
      </c>
      <c r="B9" s="203" t="s">
        <v>4</v>
      </c>
      <c r="C9" s="204"/>
      <c r="D9" s="204"/>
      <c r="E9" s="205"/>
      <c r="F9" s="209" t="s">
        <v>5</v>
      </c>
      <c r="G9" s="8"/>
      <c r="H9" s="212" t="s">
        <v>6</v>
      </c>
      <c r="I9" s="213"/>
      <c r="J9" s="213"/>
      <c r="K9" s="213"/>
      <c r="L9" s="214"/>
      <c r="M9" s="218" t="s">
        <v>7</v>
      </c>
      <c r="N9" s="219"/>
      <c r="O9" s="220"/>
      <c r="P9" s="224" t="s">
        <v>8</v>
      </c>
      <c r="Q9" s="232" t="s">
        <v>9</v>
      </c>
      <c r="R9" s="9"/>
      <c r="X9" s="235" t="s">
        <v>10</v>
      </c>
      <c r="Y9" s="235"/>
      <c r="Z9" s="243" t="s">
        <v>3</v>
      </c>
      <c r="AA9" s="246" t="s">
        <v>4</v>
      </c>
      <c r="AB9" s="247"/>
      <c r="AC9" s="247"/>
      <c r="AD9" s="248"/>
      <c r="AE9" s="252" t="s">
        <v>5</v>
      </c>
      <c r="AF9" s="255" t="s">
        <v>42</v>
      </c>
      <c r="AG9" s="256"/>
      <c r="AH9" s="256"/>
      <c r="AI9" s="256"/>
      <c r="AJ9" s="256"/>
      <c r="AK9" s="256"/>
      <c r="AL9" s="256"/>
      <c r="AM9" s="257"/>
      <c r="AN9" s="271" t="s">
        <v>44</v>
      </c>
      <c r="AO9" s="272"/>
      <c r="AP9" s="272"/>
      <c r="AQ9" s="273"/>
      <c r="AR9" s="269" t="s">
        <v>43</v>
      </c>
      <c r="AS9" s="281" t="s">
        <v>41</v>
      </c>
    </row>
    <row r="10" spans="1:45" ht="25.5" customHeight="1">
      <c r="A10" s="201"/>
      <c r="B10" s="206"/>
      <c r="C10" s="207"/>
      <c r="D10" s="207"/>
      <c r="E10" s="208"/>
      <c r="F10" s="210"/>
      <c r="G10" s="10"/>
      <c r="H10" s="215"/>
      <c r="I10" s="216"/>
      <c r="J10" s="216"/>
      <c r="K10" s="216"/>
      <c r="L10" s="217"/>
      <c r="M10" s="221"/>
      <c r="N10" s="222"/>
      <c r="O10" s="223"/>
      <c r="P10" s="225"/>
      <c r="Q10" s="233"/>
      <c r="R10" s="9"/>
      <c r="S10" s="11"/>
      <c r="X10" s="235"/>
      <c r="Y10" s="235"/>
      <c r="Z10" s="244"/>
      <c r="AA10" s="249"/>
      <c r="AB10" s="250"/>
      <c r="AC10" s="250"/>
      <c r="AD10" s="251"/>
      <c r="AE10" s="253"/>
      <c r="AF10" s="258"/>
      <c r="AG10" s="259"/>
      <c r="AH10" s="259"/>
      <c r="AI10" s="259"/>
      <c r="AJ10" s="259"/>
      <c r="AK10" s="259"/>
      <c r="AL10" s="259"/>
      <c r="AM10" s="260"/>
      <c r="AN10" s="274"/>
      <c r="AO10" s="275"/>
      <c r="AP10" s="275"/>
      <c r="AQ10" s="276"/>
      <c r="AR10" s="270"/>
      <c r="AS10" s="270"/>
    </row>
    <row r="11" spans="1:45">
      <c r="A11" s="201"/>
      <c r="B11" s="12"/>
      <c r="C11" s="228" t="s">
        <v>11</v>
      </c>
      <c r="D11" s="228" t="s">
        <v>12</v>
      </c>
      <c r="E11" s="230" t="s">
        <v>13</v>
      </c>
      <c r="F11" s="210"/>
      <c r="G11" s="210" t="s">
        <v>5</v>
      </c>
      <c r="H11" s="236" t="s">
        <v>14</v>
      </c>
      <c r="I11" s="228" t="s">
        <v>11</v>
      </c>
      <c r="J11" s="228" t="s">
        <v>15</v>
      </c>
      <c r="K11" s="228" t="s">
        <v>16</v>
      </c>
      <c r="L11" s="226" t="s">
        <v>17</v>
      </c>
      <c r="M11" s="13"/>
      <c r="N11" s="228" t="s">
        <v>18</v>
      </c>
      <c r="O11" s="238" t="s">
        <v>19</v>
      </c>
      <c r="P11" s="240" t="s">
        <v>20</v>
      </c>
      <c r="Q11" s="233"/>
      <c r="R11" s="9"/>
      <c r="S11" s="14"/>
      <c r="X11" s="235"/>
      <c r="Y11" s="235"/>
      <c r="Z11" s="244"/>
      <c r="AA11" s="111"/>
      <c r="AB11" s="261" t="s">
        <v>11</v>
      </c>
      <c r="AC11" s="261" t="s">
        <v>12</v>
      </c>
      <c r="AD11" s="263" t="s">
        <v>13</v>
      </c>
      <c r="AE11" s="253"/>
      <c r="AF11" s="265" t="s">
        <v>14</v>
      </c>
      <c r="AG11" s="261" t="s">
        <v>33</v>
      </c>
      <c r="AH11" s="261" t="s">
        <v>34</v>
      </c>
      <c r="AI11" s="261" t="s">
        <v>39</v>
      </c>
      <c r="AJ11" s="261" t="s">
        <v>40</v>
      </c>
      <c r="AK11" s="261" t="s">
        <v>35</v>
      </c>
      <c r="AL11" s="261" t="s">
        <v>16</v>
      </c>
      <c r="AM11" s="277" t="s">
        <v>36</v>
      </c>
      <c r="AN11" s="112"/>
      <c r="AO11" s="261" t="s">
        <v>37</v>
      </c>
      <c r="AP11" s="261" t="s">
        <v>38</v>
      </c>
      <c r="AQ11" s="279" t="s">
        <v>19</v>
      </c>
      <c r="AR11" s="150"/>
      <c r="AS11" s="267" t="s">
        <v>36</v>
      </c>
    </row>
    <row r="12" spans="1:45" ht="45.75" thickBot="1">
      <c r="A12" s="202"/>
      <c r="B12" s="15" t="s">
        <v>14</v>
      </c>
      <c r="C12" s="229"/>
      <c r="D12" s="229"/>
      <c r="E12" s="231"/>
      <c r="F12" s="211"/>
      <c r="G12" s="211"/>
      <c r="H12" s="237"/>
      <c r="I12" s="229"/>
      <c r="J12" s="229"/>
      <c r="K12" s="229"/>
      <c r="L12" s="227"/>
      <c r="M12" s="16" t="s">
        <v>21</v>
      </c>
      <c r="N12" s="229"/>
      <c r="O12" s="239"/>
      <c r="P12" s="241"/>
      <c r="Q12" s="234"/>
      <c r="R12" s="17"/>
      <c r="V12" t="s">
        <v>22</v>
      </c>
      <c r="W12" t="s">
        <v>23</v>
      </c>
      <c r="X12" s="235"/>
      <c r="Y12" s="235"/>
      <c r="Z12" s="245"/>
      <c r="AA12" s="113" t="s">
        <v>14</v>
      </c>
      <c r="AB12" s="262"/>
      <c r="AC12" s="262"/>
      <c r="AD12" s="264"/>
      <c r="AE12" s="254"/>
      <c r="AF12" s="266"/>
      <c r="AG12" s="262"/>
      <c r="AH12" s="262"/>
      <c r="AI12" s="262"/>
      <c r="AJ12" s="262"/>
      <c r="AK12" s="262"/>
      <c r="AL12" s="262"/>
      <c r="AM12" s="278"/>
      <c r="AN12" s="114" t="s">
        <v>14</v>
      </c>
      <c r="AO12" s="262"/>
      <c r="AP12" s="262"/>
      <c r="AQ12" s="280"/>
      <c r="AR12" s="151"/>
      <c r="AS12" s="268"/>
    </row>
    <row r="13" spans="1:45" ht="16.5" thickTop="1" thickBot="1">
      <c r="A13" s="18">
        <v>40985</v>
      </c>
      <c r="B13" s="19">
        <f>C13+E13</f>
        <v>-47520</v>
      </c>
      <c r="C13" s="20">
        <v>-48000</v>
      </c>
      <c r="D13" s="20"/>
      <c r="E13" s="21">
        <v>480</v>
      </c>
      <c r="F13" s="22">
        <f>NPV($O$6,B16:B$37)</f>
        <v>6690.163084583769</v>
      </c>
      <c r="G13" s="23"/>
      <c r="H13" s="24">
        <f>(XNPV($O$6,B13:$B$37,A13:$A$37)-B13)*(1+O6)^(1/365)</f>
        <v>47555.22140259845</v>
      </c>
      <c r="I13" s="25">
        <f>C13*(-1)</f>
        <v>48000</v>
      </c>
      <c r="J13" s="20">
        <f>I13*O4*1/360</f>
        <v>33.333333333333336</v>
      </c>
      <c r="K13" s="26">
        <f>-E13+O13</f>
        <v>-478.11193073488295</v>
      </c>
      <c r="L13" s="27" t="s">
        <v>24</v>
      </c>
      <c r="M13" s="28">
        <f>H13+B13</f>
        <v>35.221402598450368</v>
      </c>
      <c r="N13" s="29">
        <f>J13</f>
        <v>33.333333333333336</v>
      </c>
      <c r="O13" s="30">
        <f>M13-N13</f>
        <v>1.8880692651170321</v>
      </c>
      <c r="P13" s="31" t="s">
        <v>24</v>
      </c>
      <c r="Q13" s="32" t="s">
        <v>24</v>
      </c>
      <c r="R13" s="33"/>
      <c r="S13" s="2">
        <f>N12+N13-D13</f>
        <v>33.333333333333336</v>
      </c>
      <c r="U13" s="34"/>
      <c r="X13" s="35" t="s">
        <v>25</v>
      </c>
      <c r="Y13" s="36" t="s">
        <v>26</v>
      </c>
      <c r="Z13" s="115">
        <v>40985</v>
      </c>
      <c r="AA13" s="116">
        <f>AB13+AD13</f>
        <v>0</v>
      </c>
      <c r="AB13" s="117"/>
      <c r="AC13" s="117"/>
      <c r="AD13" s="118"/>
      <c r="AE13" s="119"/>
      <c r="AF13" s="120"/>
      <c r="AG13" s="121"/>
      <c r="AH13" s="121"/>
      <c r="AI13" s="117"/>
      <c r="AJ13" s="122"/>
      <c r="AK13" s="122"/>
      <c r="AL13" s="122"/>
      <c r="AM13" s="123"/>
      <c r="AN13" s="124"/>
      <c r="AO13" s="125"/>
      <c r="AP13" s="131"/>
      <c r="AQ13" s="126"/>
      <c r="AR13" s="133"/>
      <c r="AS13" s="127" t="s">
        <v>24</v>
      </c>
    </row>
    <row r="14" spans="1:45" ht="16.5" thickTop="1" thickBot="1">
      <c r="A14" s="18">
        <v>40999</v>
      </c>
      <c r="B14" s="37">
        <f>SUM(C14:E14)</f>
        <v>0</v>
      </c>
      <c r="C14" s="29"/>
      <c r="D14" s="29"/>
      <c r="E14" s="38" t="s">
        <v>24</v>
      </c>
      <c r="F14" s="39" t="e">
        <f>NPV($O$6,#REF!)</f>
        <v>#REF!</v>
      </c>
      <c r="G14" s="40"/>
      <c r="H14" s="24">
        <f>(XNPV($O$6,B14:$B$37,A14:$A$37)-B14)*((1+$O$6)^(1/365))</f>
        <v>48051.070891224314</v>
      </c>
      <c r="I14" s="41">
        <f>I13-C14</f>
        <v>48000</v>
      </c>
      <c r="J14" s="29">
        <f>J13+N14-D14</f>
        <v>500</v>
      </c>
      <c r="K14" s="42">
        <f>K13+O14</f>
        <v>-448.92910877568647</v>
      </c>
      <c r="L14" s="33">
        <f>P14</f>
        <v>0</v>
      </c>
      <c r="M14" s="28">
        <f>H14-H13+B14</f>
        <v>495.84948862586316</v>
      </c>
      <c r="N14" s="29">
        <f>I13*O$4*(A14-A13)/360</f>
        <v>466.66666666666669</v>
      </c>
      <c r="O14" s="30">
        <f>M14-N14</f>
        <v>29.182821959196474</v>
      </c>
      <c r="P14" s="43">
        <v>0</v>
      </c>
      <c r="Q14" s="44"/>
      <c r="R14" s="33"/>
      <c r="T14" s="7">
        <f>O14</f>
        <v>29.182821959196474</v>
      </c>
      <c r="U14" s="7">
        <f>M14</f>
        <v>495.84948862586316</v>
      </c>
      <c r="V14" s="45" t="e">
        <f>N14+N12-#REF!</f>
        <v>#REF!</v>
      </c>
      <c r="W14" s="7" t="e">
        <f>J14-#REF!</f>
        <v>#REF!</v>
      </c>
      <c r="X14" s="7">
        <f>ROUND((O12+O14),2)</f>
        <v>29.18</v>
      </c>
      <c r="Y14" s="46" t="s">
        <v>27</v>
      </c>
      <c r="Z14" s="115">
        <v>40999</v>
      </c>
      <c r="AA14" s="128">
        <f>SUM(AB14:AD14)</f>
        <v>0</v>
      </c>
      <c r="AB14" s="125"/>
      <c r="AC14" s="125"/>
      <c r="AD14" s="129"/>
      <c r="AE14" s="130"/>
      <c r="AF14" s="120"/>
      <c r="AG14" s="131"/>
      <c r="AH14" s="131"/>
      <c r="AI14" s="125"/>
      <c r="AJ14" s="132"/>
      <c r="AK14" s="132"/>
      <c r="AL14" s="132"/>
      <c r="AM14" s="133"/>
      <c r="AN14" s="124"/>
      <c r="AO14" s="125"/>
      <c r="AP14" s="131"/>
      <c r="AQ14" s="126"/>
      <c r="AR14" s="152"/>
      <c r="AS14" s="134"/>
    </row>
    <row r="15" spans="1:45" ht="16.5" thickTop="1" thickBot="1">
      <c r="A15" s="18">
        <v>41019</v>
      </c>
      <c r="B15" s="37">
        <f>SUM(C15:E15)</f>
        <v>5133.333333333333</v>
      </c>
      <c r="C15" s="29">
        <v>4000</v>
      </c>
      <c r="D15" s="29">
        <f>I13*O$4*(A15-A13)/360</f>
        <v>1133.3333333333333</v>
      </c>
      <c r="E15" s="38" t="s">
        <v>24</v>
      </c>
      <c r="F15" s="39" t="e">
        <f>NPV($O$6,#REF!)</f>
        <v>#REF!</v>
      </c>
      <c r="G15" s="40"/>
      <c r="H15" s="24">
        <f>(XNPV($O$6,B15:$B$37,A15:$A$37)-B15)*((1+$O$6)^(1/365))</f>
        <v>43631.271123228616</v>
      </c>
      <c r="I15" s="41">
        <f>I13-C15</f>
        <v>44000</v>
      </c>
      <c r="J15" s="29">
        <f t="shared" ref="J15:J37" si="0">J14+N15-D15</f>
        <v>0</v>
      </c>
      <c r="K15" s="42">
        <f t="shared" ref="K15:K37" si="1">K14+O15</f>
        <v>-368.72887677138385</v>
      </c>
      <c r="L15" s="33">
        <f>P15</f>
        <v>0</v>
      </c>
      <c r="M15" s="28">
        <f>H15-H14+B15</f>
        <v>713.53356533763599</v>
      </c>
      <c r="N15" s="29">
        <f>I14*O$4*(A15-A14-1)/360</f>
        <v>633.33333333333337</v>
      </c>
      <c r="O15" s="30">
        <f>M15-N15</f>
        <v>80.20023200430262</v>
      </c>
      <c r="P15" s="43">
        <v>0</v>
      </c>
      <c r="Q15" s="44"/>
      <c r="R15" s="33"/>
      <c r="T15" s="7">
        <f>O15</f>
        <v>80.20023200430262</v>
      </c>
      <c r="U15" s="7">
        <f>M15</f>
        <v>713.53356533763599</v>
      </c>
      <c r="V15" s="45" t="e">
        <f>N15+N13-#REF!</f>
        <v>#REF!</v>
      </c>
      <c r="W15" s="7" t="e">
        <f>J15-#REF!</f>
        <v>#REF!</v>
      </c>
      <c r="X15" s="7">
        <f>ROUND((O13+O15),2)</f>
        <v>82.09</v>
      </c>
      <c r="Y15" s="46" t="s">
        <v>27</v>
      </c>
      <c r="Z15" s="115">
        <v>41019</v>
      </c>
      <c r="AA15" s="128">
        <f>SUM(AB15:AD15)</f>
        <v>0</v>
      </c>
      <c r="AB15" s="125"/>
      <c r="AC15" s="125"/>
      <c r="AD15" s="129"/>
      <c r="AE15" s="130"/>
      <c r="AF15" s="120"/>
      <c r="AG15" s="131"/>
      <c r="AH15" s="131"/>
      <c r="AI15" s="125"/>
      <c r="AJ15" s="132"/>
      <c r="AK15" s="132"/>
      <c r="AL15" s="132"/>
      <c r="AM15" s="133"/>
      <c r="AN15" s="124"/>
      <c r="AO15" s="125"/>
      <c r="AP15" s="131"/>
      <c r="AQ15" s="126"/>
      <c r="AR15" s="152"/>
      <c r="AS15" s="134"/>
    </row>
    <row r="16" spans="1:45" ht="15.75" thickTop="1">
      <c r="A16" s="18">
        <v>41029</v>
      </c>
      <c r="B16" s="37">
        <f>SUM(C16:E16)</f>
        <v>0</v>
      </c>
      <c r="C16" s="29"/>
      <c r="D16" s="29">
        <v>0</v>
      </c>
      <c r="E16" s="38"/>
      <c r="F16" s="39" t="e">
        <f>NPV($O$6,#REF!)</f>
        <v>#REF!</v>
      </c>
      <c r="G16" s="40"/>
      <c r="H16" s="24">
        <f>(XNPV($O$6,B16:$B$37,A16:$A$37)-B16)*((1+$O$6)^(1/365))</f>
        <v>43955.742944231053</v>
      </c>
      <c r="I16" s="41">
        <f t="shared" ref="I16:I37" si="2">I15-C16</f>
        <v>44000</v>
      </c>
      <c r="J16" s="29">
        <f t="shared" si="0"/>
        <v>336.11111111111109</v>
      </c>
      <c r="K16" s="42">
        <f t="shared" si="1"/>
        <v>-380.36816688005831</v>
      </c>
      <c r="L16" s="33">
        <f>P16</f>
        <v>0</v>
      </c>
      <c r="M16" s="28">
        <f t="shared" ref="M16:M37" si="3">H16-H15+B16</f>
        <v>324.47182100243663</v>
      </c>
      <c r="N16" s="29">
        <f>I15*O$4*(A16-A15+1)/360</f>
        <v>336.11111111111109</v>
      </c>
      <c r="O16" s="30">
        <f t="shared" ref="O16:O37" si="4">M16-N16</f>
        <v>-11.639290108674459</v>
      </c>
      <c r="P16" s="43">
        <v>0</v>
      </c>
      <c r="Q16" s="44">
        <f>M16/H13</f>
        <v>6.8230535245643346E-3</v>
      </c>
      <c r="R16" s="33"/>
      <c r="S16" s="2">
        <f>N15+N16-D16</f>
        <v>969.44444444444446</v>
      </c>
      <c r="T16" s="7">
        <f>O16</f>
        <v>-11.639290108674459</v>
      </c>
      <c r="U16" s="7">
        <f>M16</f>
        <v>324.47182100243663</v>
      </c>
      <c r="V16" s="45" t="e">
        <f>N16-#REF!</f>
        <v>#REF!</v>
      </c>
      <c r="W16" s="7" t="e">
        <f>J16-#REF!</f>
        <v>#REF!</v>
      </c>
      <c r="X16" s="7"/>
      <c r="Z16" s="115">
        <v>41029</v>
      </c>
      <c r="AA16" s="128">
        <f>SUM(AB16:AD16)</f>
        <v>0</v>
      </c>
      <c r="AB16" s="125"/>
      <c r="AC16" s="125"/>
      <c r="AD16" s="129"/>
      <c r="AE16" s="130"/>
      <c r="AF16" s="120"/>
      <c r="AG16" s="131"/>
      <c r="AH16" s="131"/>
      <c r="AI16" s="125"/>
      <c r="AJ16" s="132"/>
      <c r="AK16" s="132"/>
      <c r="AL16" s="132"/>
      <c r="AM16" s="133"/>
      <c r="AN16" s="124"/>
      <c r="AO16" s="125"/>
      <c r="AP16" s="131"/>
      <c r="AQ16" s="126"/>
      <c r="AR16" s="152"/>
      <c r="AS16" s="134"/>
    </row>
    <row r="17" spans="1:45">
      <c r="A17" s="18">
        <v>41049</v>
      </c>
      <c r="B17" s="37">
        <f t="shared" ref="B17:B37" si="5">SUM(C17:E17)</f>
        <v>4916.666666666667</v>
      </c>
      <c r="C17" s="29">
        <v>4000</v>
      </c>
      <c r="D17" s="29">
        <f>I15*O$4*(A17-A15)/360</f>
        <v>916.66666666666663</v>
      </c>
      <c r="E17" s="38"/>
      <c r="F17" s="39"/>
      <c r="G17" s="47"/>
      <c r="H17" s="24">
        <f>(XNPV($O$6,B17:$B$37,A17:$A$37)-B17)*((1+$O$6)^(1/365))</f>
        <v>39691.632654821064</v>
      </c>
      <c r="I17" s="41">
        <f t="shared" si="2"/>
        <v>40000</v>
      </c>
      <c r="J17" s="29">
        <f t="shared" si="0"/>
        <v>0</v>
      </c>
      <c r="K17" s="42">
        <f t="shared" si="1"/>
        <v>-308.36734517893638</v>
      </c>
      <c r="L17" s="33">
        <f>P17</f>
        <v>0</v>
      </c>
      <c r="M17" s="28">
        <f t="shared" si="3"/>
        <v>652.55637725667748</v>
      </c>
      <c r="N17" s="29">
        <f t="shared" ref="N17" si="6">I16*O$4*(A17-A16-1)/360</f>
        <v>580.55555555555554</v>
      </c>
      <c r="O17" s="30">
        <f t="shared" si="4"/>
        <v>72.000821701121936</v>
      </c>
      <c r="P17" s="43">
        <v>0</v>
      </c>
      <c r="Q17" s="44"/>
      <c r="R17" s="33"/>
      <c r="V17" s="45" t="e">
        <f>N17-#REF!</f>
        <v>#REF!</v>
      </c>
      <c r="W17" s="7" t="e">
        <f>J17-#REF!</f>
        <v>#REF!</v>
      </c>
      <c r="X17" s="7">
        <f>ROUND((O16+O17),2)</f>
        <v>60.36</v>
      </c>
      <c r="Y17" s="46" t="s">
        <v>28</v>
      </c>
      <c r="Z17" s="115">
        <v>41049</v>
      </c>
      <c r="AA17" s="128">
        <f t="shared" ref="AA17:AA37" si="7">SUM(AB17:AD17)</f>
        <v>0</v>
      </c>
      <c r="AB17" s="125"/>
      <c r="AC17" s="125"/>
      <c r="AD17" s="129"/>
      <c r="AE17" s="130"/>
      <c r="AF17" s="120"/>
      <c r="AG17" s="131"/>
      <c r="AH17" s="131"/>
      <c r="AI17" s="125"/>
      <c r="AJ17" s="132"/>
      <c r="AK17" s="132"/>
      <c r="AL17" s="132"/>
      <c r="AM17" s="133"/>
      <c r="AN17" s="124"/>
      <c r="AO17" s="125"/>
      <c r="AP17" s="131"/>
      <c r="AQ17" s="126"/>
      <c r="AR17" s="152"/>
      <c r="AS17" s="134"/>
    </row>
    <row r="18" spans="1:45">
      <c r="A18" s="18">
        <v>41060</v>
      </c>
      <c r="B18" s="37">
        <f t="shared" si="5"/>
        <v>0</v>
      </c>
      <c r="C18" s="29"/>
      <c r="D18" s="29">
        <v>0</v>
      </c>
      <c r="E18" s="38"/>
      <c r="F18" s="39"/>
      <c r="G18" s="47"/>
      <c r="H18" s="24">
        <f>(XNPV($O$6,B18:$B$37,A18:$A$37)-B18)*((1+$O$6)^(1/365))</f>
        <v>40016.444505204759</v>
      </c>
      <c r="I18" s="41">
        <f t="shared" si="2"/>
        <v>40000</v>
      </c>
      <c r="J18" s="29">
        <f t="shared" si="0"/>
        <v>333.33333333333331</v>
      </c>
      <c r="K18" s="42">
        <f t="shared" si="1"/>
        <v>-316.88882812857383</v>
      </c>
      <c r="L18" s="33">
        <f t="shared" ref="L18:L37" si="8">P18</f>
        <v>0</v>
      </c>
      <c r="M18" s="28">
        <f t="shared" si="3"/>
        <v>324.81185038369586</v>
      </c>
      <c r="N18" s="29">
        <f t="shared" ref="N18" si="9">I17*O$4*(A18-A17+1)/360</f>
        <v>333.33333333333331</v>
      </c>
      <c r="O18" s="30">
        <f t="shared" si="4"/>
        <v>-8.5214829496374591</v>
      </c>
      <c r="P18" s="43">
        <v>0</v>
      </c>
      <c r="Q18" s="44">
        <f>M18/H16</f>
        <v>7.3895201998019147E-3</v>
      </c>
      <c r="R18" s="33"/>
      <c r="S18" s="2">
        <f>N17+N18-D18</f>
        <v>913.88888888888891</v>
      </c>
      <c r="T18" s="7">
        <f>O18+O17</f>
        <v>63.479338751484477</v>
      </c>
      <c r="U18" s="7">
        <f>M17+M18</f>
        <v>977.36822764037333</v>
      </c>
      <c r="V18" s="45" t="e">
        <f>N18-#REF!</f>
        <v>#REF!</v>
      </c>
      <c r="W18" s="7" t="e">
        <f>J18-#REF!</f>
        <v>#REF!</v>
      </c>
      <c r="X18" s="7"/>
      <c r="Z18" s="115">
        <v>41060</v>
      </c>
      <c r="AA18" s="128">
        <f t="shared" si="7"/>
        <v>0</v>
      </c>
      <c r="AB18" s="125"/>
      <c r="AC18" s="125"/>
      <c r="AD18" s="129"/>
      <c r="AE18" s="130"/>
      <c r="AF18" s="120"/>
      <c r="AG18" s="131"/>
      <c r="AH18" s="131"/>
      <c r="AI18" s="125"/>
      <c r="AJ18" s="132"/>
      <c r="AK18" s="132"/>
      <c r="AL18" s="132"/>
      <c r="AM18" s="133"/>
      <c r="AN18" s="124"/>
      <c r="AO18" s="125"/>
      <c r="AP18" s="131"/>
      <c r="AQ18" s="126"/>
      <c r="AR18" s="152"/>
      <c r="AS18" s="134"/>
    </row>
    <row r="19" spans="1:45">
      <c r="A19" s="18">
        <v>41080</v>
      </c>
      <c r="B19" s="37">
        <f t="shared" si="5"/>
        <v>4861.1111111111113</v>
      </c>
      <c r="C19" s="29">
        <v>4000</v>
      </c>
      <c r="D19" s="29">
        <f>I17*O$4*(A19-A17)/360</f>
        <v>861.11111111111109</v>
      </c>
      <c r="E19" s="38"/>
      <c r="F19" s="39"/>
      <c r="G19" s="47"/>
      <c r="H19" s="24">
        <f>(XNPV($O$6,B19:$B$37,A19:$A$37)-B19)*((1+$O$6)^(1/365))</f>
        <v>35749.122481434453</v>
      </c>
      <c r="I19" s="41">
        <f t="shared" si="2"/>
        <v>36000</v>
      </c>
      <c r="J19" s="29">
        <f t="shared" si="0"/>
        <v>0</v>
      </c>
      <c r="K19" s="42">
        <f t="shared" si="1"/>
        <v>-250.87751856554661</v>
      </c>
      <c r="L19" s="33">
        <f t="shared" si="8"/>
        <v>0</v>
      </c>
      <c r="M19" s="28">
        <f t="shared" si="3"/>
        <v>593.78908734080505</v>
      </c>
      <c r="N19" s="29">
        <f t="shared" ref="N19" si="10">I18*O$4*(A19-A18-1)/360</f>
        <v>527.77777777777783</v>
      </c>
      <c r="O19" s="30">
        <f t="shared" si="4"/>
        <v>66.011309563027226</v>
      </c>
      <c r="P19" s="43">
        <v>0</v>
      </c>
      <c r="Q19" s="44"/>
      <c r="R19" s="33"/>
      <c r="V19" s="45" t="e">
        <f>N19-#REF!</f>
        <v>#REF!</v>
      </c>
      <c r="W19" s="7" t="e">
        <f>J19-#REF!</f>
        <v>#REF!</v>
      </c>
      <c r="X19" s="7">
        <f>ROUND((O18+O19),2)</f>
        <v>57.49</v>
      </c>
      <c r="Y19" s="46" t="s">
        <v>28</v>
      </c>
      <c r="Z19" s="115">
        <v>41080</v>
      </c>
      <c r="AA19" s="128">
        <f t="shared" si="7"/>
        <v>0</v>
      </c>
      <c r="AB19" s="125"/>
      <c r="AC19" s="125"/>
      <c r="AD19" s="129"/>
      <c r="AE19" s="130"/>
      <c r="AF19" s="120"/>
      <c r="AG19" s="131"/>
      <c r="AH19" s="131"/>
      <c r="AI19" s="125"/>
      <c r="AJ19" s="132"/>
      <c r="AK19" s="132"/>
      <c r="AL19" s="132"/>
      <c r="AM19" s="133"/>
      <c r="AN19" s="124"/>
      <c r="AO19" s="125"/>
      <c r="AP19" s="131"/>
      <c r="AQ19" s="126"/>
      <c r="AR19" s="152"/>
      <c r="AS19" s="134"/>
    </row>
    <row r="20" spans="1:45">
      <c r="A20" s="18">
        <v>41090</v>
      </c>
      <c r="B20" s="37">
        <f t="shared" si="5"/>
        <v>0</v>
      </c>
      <c r="C20" s="29"/>
      <c r="D20" s="29">
        <v>0</v>
      </c>
      <c r="E20" s="38"/>
      <c r="F20" s="39"/>
      <c r="G20" s="47"/>
      <c r="H20" s="24">
        <f>(XNPV($O$6,B20:$B$37,A20:$A$37)-B20)*((1+$O$6)^(1/365))</f>
        <v>36014.977281722749</v>
      </c>
      <c r="I20" s="41">
        <f t="shared" si="2"/>
        <v>36000</v>
      </c>
      <c r="J20" s="29">
        <f t="shared" si="0"/>
        <v>275</v>
      </c>
      <c r="K20" s="42">
        <f t="shared" si="1"/>
        <v>-260.02271827725036</v>
      </c>
      <c r="L20" s="33">
        <f t="shared" si="8"/>
        <v>0</v>
      </c>
      <c r="M20" s="28">
        <f t="shared" si="3"/>
        <v>265.85480028829625</v>
      </c>
      <c r="N20" s="29">
        <f t="shared" ref="N20" si="11">I19*O$4*(A20-A19+1)/360</f>
        <v>275</v>
      </c>
      <c r="O20" s="30">
        <f t="shared" si="4"/>
        <v>-9.1451997117037536</v>
      </c>
      <c r="P20" s="43">
        <v>0</v>
      </c>
      <c r="Q20" s="44">
        <f>M20/H18</f>
        <v>6.6436387234182614E-3</v>
      </c>
      <c r="R20" s="33"/>
      <c r="S20" s="2">
        <f>N19+N20-D20</f>
        <v>802.77777777777783</v>
      </c>
      <c r="T20" s="7">
        <f>O20+O19</f>
        <v>56.866109851323472</v>
      </c>
      <c r="U20" s="7">
        <f>M19+M20</f>
        <v>859.6438876291013</v>
      </c>
      <c r="V20" s="45" t="e">
        <f>N20-#REF!</f>
        <v>#REF!</v>
      </c>
      <c r="W20" s="7" t="e">
        <f>J20-#REF!</f>
        <v>#REF!</v>
      </c>
      <c r="X20" s="7"/>
      <c r="Z20" s="115">
        <v>41090</v>
      </c>
      <c r="AA20" s="128">
        <f t="shared" si="7"/>
        <v>0</v>
      </c>
      <c r="AB20" s="125"/>
      <c r="AC20" s="125"/>
      <c r="AD20" s="129"/>
      <c r="AE20" s="130">
        <f>(XNPV(AQ$6,AA20:AA$37,Z20:Z$37))</f>
        <v>35898.55992241823</v>
      </c>
      <c r="AF20" s="120">
        <f t="shared" ref="AF20:AF37" si="12">AG20+AH20+AI20+AJ20+AK20+AL20+AM20</f>
        <v>35898.559922418237</v>
      </c>
      <c r="AG20" s="131">
        <f>'8_1 imp'!AG20</f>
        <v>36000</v>
      </c>
      <c r="AH20" s="131">
        <f>'8_1 imp'!AH20</f>
        <v>4000</v>
      </c>
      <c r="AI20" s="131">
        <f>'8_1 imp'!AI20</f>
        <v>275</v>
      </c>
      <c r="AJ20" s="131">
        <f>'8_1 imp'!AJ20</f>
        <v>861.11</v>
      </c>
      <c r="AK20" s="131">
        <f>'8_1 imp'!AK20</f>
        <v>27.777777777777779</v>
      </c>
      <c r="AL20" s="131">
        <f>'8_1 imp'!AL20</f>
        <v>-260.02271827725036</v>
      </c>
      <c r="AM20" s="133">
        <f>AE20-AG20-AH20-AI20-AJ20-AK20-AL20</f>
        <v>-5005.3051370822968</v>
      </c>
      <c r="AN20" s="124"/>
      <c r="AO20" s="125"/>
      <c r="AP20" s="131"/>
      <c r="AQ20" s="126"/>
      <c r="AR20" s="152"/>
      <c r="AS20" s="134"/>
    </row>
    <row r="21" spans="1:45">
      <c r="A21" s="18">
        <v>41110</v>
      </c>
      <c r="B21" s="37">
        <f t="shared" si="5"/>
        <v>4750</v>
      </c>
      <c r="C21" s="29">
        <v>4000</v>
      </c>
      <c r="D21" s="29">
        <f>I19*O$4*(A21-A19)/360</f>
        <v>750</v>
      </c>
      <c r="E21" s="38"/>
      <c r="F21" s="39"/>
      <c r="G21" s="47"/>
      <c r="H21" s="24">
        <f>(XNPV($O$6,B21:$B$37,A21:$A$37)-B21)*((1+$O$6)^(1/365))</f>
        <v>31799.112159462333</v>
      </c>
      <c r="I21" s="41">
        <f t="shared" si="2"/>
        <v>32000</v>
      </c>
      <c r="J21" s="29">
        <f t="shared" si="0"/>
        <v>0</v>
      </c>
      <c r="K21" s="42">
        <f t="shared" si="1"/>
        <v>-200.88784053766705</v>
      </c>
      <c r="L21" s="33">
        <f t="shared" si="8"/>
        <v>0</v>
      </c>
      <c r="M21" s="28">
        <f t="shared" si="3"/>
        <v>534.13487773958332</v>
      </c>
      <c r="N21" s="29">
        <f t="shared" ref="N21" si="13">I20*O$4*(A21-A20-1)/360</f>
        <v>475</v>
      </c>
      <c r="O21" s="30">
        <f t="shared" si="4"/>
        <v>59.134877739583317</v>
      </c>
      <c r="P21" s="43">
        <v>0</v>
      </c>
      <c r="Q21" s="44"/>
      <c r="R21" s="33"/>
      <c r="V21" s="45" t="e">
        <f>N21-#REF!</f>
        <v>#REF!</v>
      </c>
      <c r="W21" s="7" t="e">
        <f>J21-#REF!</f>
        <v>#REF!</v>
      </c>
      <c r="X21" s="7">
        <f>ROUND((O20+O21),2)</f>
        <v>49.99</v>
      </c>
      <c r="Y21" s="46" t="s">
        <v>28</v>
      </c>
      <c r="Z21" s="115">
        <v>41110</v>
      </c>
      <c r="AA21" s="128">
        <f t="shared" si="7"/>
        <v>0</v>
      </c>
      <c r="AB21" s="147"/>
      <c r="AC21" s="147"/>
      <c r="AD21" s="129"/>
      <c r="AE21" s="130">
        <f>(XNPV(AQ$6,AA21:AA$37,Z21:Z$37))</f>
        <v>36434.477501703332</v>
      </c>
      <c r="AF21" s="120">
        <f t="shared" si="12"/>
        <v>36434.477501703332</v>
      </c>
      <c r="AG21" s="131">
        <f>'8_1 imp'!AG21</f>
        <v>32000</v>
      </c>
      <c r="AH21" s="131">
        <f>'8_1 imp'!AH21</f>
        <v>8000</v>
      </c>
      <c r="AI21" s="125">
        <f>'8_1 imp'!AI21</f>
        <v>0</v>
      </c>
      <c r="AJ21" s="132">
        <f>'8_1 imp'!AJ21</f>
        <v>1136.1100000000001</v>
      </c>
      <c r="AK21" s="132">
        <f>'8_1 imp'!AK21</f>
        <v>83.333333333333343</v>
      </c>
      <c r="AL21" s="132">
        <f>'8_1 imp'!AL21</f>
        <v>-200.88784053766705</v>
      </c>
      <c r="AM21" s="133">
        <f t="shared" ref="AM21:AM36" si="14">AE21-AG21-AH21-AI21-AJ21-AK21-AL21</f>
        <v>-4584.0779910923347</v>
      </c>
      <c r="AN21" s="124"/>
      <c r="AO21" s="125"/>
      <c r="AP21" s="131"/>
      <c r="AQ21" s="126"/>
      <c r="AR21" s="152"/>
      <c r="AS21" s="134"/>
    </row>
    <row r="22" spans="1:45">
      <c r="A22" s="18">
        <v>41121</v>
      </c>
      <c r="B22" s="37">
        <f t="shared" si="5"/>
        <v>0</v>
      </c>
      <c r="C22" s="29"/>
      <c r="D22" s="29">
        <v>0</v>
      </c>
      <c r="E22" s="38"/>
      <c r="F22" s="39"/>
      <c r="G22" s="47"/>
      <c r="H22" s="24">
        <f>(XNPV($O$6,B22:$B$37,A22:$A$37)-B22)*((1+$O$6)^(1/365))</f>
        <v>32059.336488123681</v>
      </c>
      <c r="I22" s="41">
        <f t="shared" si="2"/>
        <v>32000</v>
      </c>
      <c r="J22" s="29">
        <f t="shared" si="0"/>
        <v>266.66666666666669</v>
      </c>
      <c r="K22" s="42">
        <f t="shared" si="1"/>
        <v>-207.33017854298532</v>
      </c>
      <c r="L22" s="33">
        <f t="shared" si="8"/>
        <v>0</v>
      </c>
      <c r="M22" s="28">
        <f t="shared" si="3"/>
        <v>260.22432866134841</v>
      </c>
      <c r="N22" s="29">
        <f t="shared" ref="N22" si="15">I21*O$4*(A22-A21+1)/360</f>
        <v>266.66666666666669</v>
      </c>
      <c r="O22" s="30">
        <f t="shared" si="4"/>
        <v>-6.4423380053182768</v>
      </c>
      <c r="P22" s="43">
        <v>0</v>
      </c>
      <c r="Q22" s="44">
        <f>M22/H20</f>
        <v>7.2254475305030871E-3</v>
      </c>
      <c r="R22" s="33"/>
      <c r="S22" s="2">
        <f>N21+N22-D22</f>
        <v>741.66666666666674</v>
      </c>
      <c r="T22" s="7">
        <f>O22+O21</f>
        <v>52.69253973426504</v>
      </c>
      <c r="U22" s="7">
        <f>M21+M22</f>
        <v>794.35920640093173</v>
      </c>
      <c r="V22" s="45" t="e">
        <f>N22-#REF!</f>
        <v>#REF!</v>
      </c>
      <c r="W22" s="7" t="e">
        <f>J22-#REF!</f>
        <v>#REF!</v>
      </c>
      <c r="X22" s="7"/>
      <c r="Z22" s="115">
        <v>41121</v>
      </c>
      <c r="AA22" s="128">
        <f t="shared" si="7"/>
        <v>0</v>
      </c>
      <c r="AB22" s="125"/>
      <c r="AC22" s="125"/>
      <c r="AD22" s="129"/>
      <c r="AE22" s="130">
        <f>(XNPV(AQ$6,AA22:AA$37,Z22:Z$37))</f>
        <v>36732.634802462635</v>
      </c>
      <c r="AF22" s="120">
        <f t="shared" si="12"/>
        <v>36732.634802462635</v>
      </c>
      <c r="AG22" s="131">
        <f>'8_1 imp'!AG22</f>
        <v>32000</v>
      </c>
      <c r="AH22" s="131">
        <f>'8_1 imp'!AH22</f>
        <v>8000</v>
      </c>
      <c r="AI22" s="125">
        <f>'8_1 imp'!AI22</f>
        <v>266.66666666666669</v>
      </c>
      <c r="AJ22" s="132">
        <f>'8_1 imp'!AJ22</f>
        <v>1136.1100000000001</v>
      </c>
      <c r="AK22" s="132">
        <f>'8_1 imp'!AK22</f>
        <v>144.44444444444446</v>
      </c>
      <c r="AL22" s="132">
        <f>'8_1 imp'!AL22</f>
        <v>-207.33017854298532</v>
      </c>
      <c r="AM22" s="133">
        <f t="shared" si="14"/>
        <v>-4607.2561301054902</v>
      </c>
      <c r="AN22" s="155">
        <f>AF22-AF20+AA22</f>
        <v>834.07488004439801</v>
      </c>
      <c r="AO22" s="156">
        <f>'8_1 imp'!AO21+'8_1 imp'!AO22</f>
        <v>741.66666666666674</v>
      </c>
      <c r="AP22" s="156">
        <f>'8_1 imp'!AP21+'8_1 imp'!AP22</f>
        <v>116.66666666666667</v>
      </c>
      <c r="AQ22" s="156">
        <f>'8_1 imp'!AQ21+'8_1 imp'!AQ22</f>
        <v>52.69253973426504</v>
      </c>
      <c r="AR22" s="154">
        <f>AN22-AO22-AP22-AQ22</f>
        <v>-76.950993023200439</v>
      </c>
      <c r="AS22" s="125"/>
    </row>
    <row r="23" spans="1:45">
      <c r="A23" s="18">
        <v>41141</v>
      </c>
      <c r="B23" s="37">
        <f t="shared" si="5"/>
        <v>4688.8888888888887</v>
      </c>
      <c r="C23" s="29">
        <v>4000</v>
      </c>
      <c r="D23" s="29">
        <f>I21*O$4*(A23-A21)/360</f>
        <v>688.88888888888891</v>
      </c>
      <c r="E23" s="38"/>
      <c r="F23" s="39"/>
      <c r="G23" s="47"/>
      <c r="H23" s="24">
        <f>(XNPV($O$6,B23:$B$37,A23:$A$37)-B23)*((1+$O$6)^(1/365))</f>
        <v>27845.575335247722</v>
      </c>
      <c r="I23" s="41">
        <f t="shared" si="2"/>
        <v>28000</v>
      </c>
      <c r="J23" s="29">
        <f t="shared" si="0"/>
        <v>0</v>
      </c>
      <c r="K23" s="42">
        <f t="shared" si="1"/>
        <v>-154.42466475227781</v>
      </c>
      <c r="L23" s="33">
        <f t="shared" si="8"/>
        <v>0</v>
      </c>
      <c r="M23" s="28">
        <f t="shared" si="3"/>
        <v>475.12773601292974</v>
      </c>
      <c r="N23" s="29">
        <f t="shared" ref="N23" si="16">I22*O$4*(A23-A22-1)/360</f>
        <v>422.22222222222223</v>
      </c>
      <c r="O23" s="30">
        <f t="shared" si="4"/>
        <v>52.905513790707516</v>
      </c>
      <c r="P23" s="43">
        <v>0</v>
      </c>
      <c r="Q23" s="44"/>
      <c r="R23" s="33"/>
      <c r="V23" s="45" t="e">
        <f>N23-#REF!</f>
        <v>#REF!</v>
      </c>
      <c r="W23" s="7" t="e">
        <f>J23-#REF!</f>
        <v>#REF!</v>
      </c>
      <c r="X23" s="7">
        <f>ROUND((O22+O23),2)</f>
        <v>46.46</v>
      </c>
      <c r="Y23" s="46" t="s">
        <v>28</v>
      </c>
      <c r="Z23" s="115">
        <v>41141</v>
      </c>
      <c r="AA23" s="128">
        <f t="shared" si="7"/>
        <v>0</v>
      </c>
      <c r="AB23" s="125"/>
      <c r="AC23" s="125"/>
      <c r="AD23" s="129"/>
      <c r="AE23" s="130">
        <f>(XNPV(AQ$6,AA23:AA$37,Z23:Z$37))</f>
        <v>37281.004006314892</v>
      </c>
      <c r="AF23" s="120">
        <f t="shared" si="12"/>
        <v>37281.004006314884</v>
      </c>
      <c r="AG23" s="131">
        <f>'8_1 imp'!AG23</f>
        <v>28000</v>
      </c>
      <c r="AH23" s="131">
        <f>'8_1 imp'!AH23</f>
        <v>12000</v>
      </c>
      <c r="AI23" s="125">
        <f>'8_1 imp'!AI23</f>
        <v>0</v>
      </c>
      <c r="AJ23" s="132">
        <f>'8_1 imp'!AJ23</f>
        <v>1402.7766666666669</v>
      </c>
      <c r="AK23" s="132">
        <f>'8_1 imp'!AK23</f>
        <v>255.55555555555557</v>
      </c>
      <c r="AL23" s="132">
        <f>'8_1 imp'!AL23</f>
        <v>-154.42466475227781</v>
      </c>
      <c r="AM23" s="133">
        <f t="shared" si="14"/>
        <v>-4222.9035511550528</v>
      </c>
      <c r="AN23" s="124"/>
      <c r="AO23" s="125"/>
      <c r="AP23" s="131"/>
      <c r="AQ23" s="126"/>
      <c r="AR23" s="152"/>
      <c r="AS23" s="134"/>
    </row>
    <row r="24" spans="1:45">
      <c r="A24" s="18">
        <v>41152</v>
      </c>
      <c r="B24" s="37">
        <f t="shared" si="5"/>
        <v>0</v>
      </c>
      <c r="C24" s="29"/>
      <c r="D24" s="29">
        <v>0</v>
      </c>
      <c r="E24" s="38"/>
      <c r="F24" s="39"/>
      <c r="G24" s="47"/>
      <c r="H24" s="24">
        <f>(XNPV($O$6,B24:$B$37,A24:$A$37)-B24)*((1+$O$6)^(1/365))</f>
        <v>28073.446356031782</v>
      </c>
      <c r="I24" s="41">
        <f t="shared" si="2"/>
        <v>28000</v>
      </c>
      <c r="J24" s="29">
        <f t="shared" si="0"/>
        <v>233.33333333333334</v>
      </c>
      <c r="K24" s="42">
        <f t="shared" si="1"/>
        <v>-159.88697730155164</v>
      </c>
      <c r="L24" s="33">
        <f t="shared" si="8"/>
        <v>0</v>
      </c>
      <c r="M24" s="28">
        <f t="shared" si="3"/>
        <v>227.87102078405951</v>
      </c>
      <c r="N24" s="29">
        <f t="shared" ref="N24" si="17">I23*O$4*(A24-A23+1)/360</f>
        <v>233.33333333333334</v>
      </c>
      <c r="O24" s="30">
        <f>M24-N24</f>
        <v>-5.4623125492738325</v>
      </c>
      <c r="P24" s="43">
        <v>0</v>
      </c>
      <c r="Q24" s="44">
        <f>M24/H22</f>
        <v>7.1077896720811388E-3</v>
      </c>
      <c r="R24" s="33"/>
      <c r="S24" s="2">
        <f>N23+N24-D24</f>
        <v>655.55555555555554</v>
      </c>
      <c r="T24" s="7">
        <f>O24+O23</f>
        <v>47.443201241433684</v>
      </c>
      <c r="U24" s="7">
        <f>M23+M24</f>
        <v>702.99875679698926</v>
      </c>
      <c r="V24" s="45" t="e">
        <f>N24-#REF!</f>
        <v>#REF!</v>
      </c>
      <c r="W24" s="7" t="e">
        <f>J24-#REF!</f>
        <v>#REF!</v>
      </c>
      <c r="X24" s="7"/>
      <c r="Z24" s="115">
        <v>41152</v>
      </c>
      <c r="AA24" s="128">
        <f t="shared" si="7"/>
        <v>0</v>
      </c>
      <c r="AB24" s="125"/>
      <c r="AC24" s="125"/>
      <c r="AD24" s="129"/>
      <c r="AE24" s="130">
        <f>(XNPV(AQ$6,AA24:AA$37,Z24:Z$37))</f>
        <v>37586.088758075093</v>
      </c>
      <c r="AF24" s="120">
        <f t="shared" si="12"/>
        <v>37586.088758075086</v>
      </c>
      <c r="AG24" s="131">
        <f>'8_1 imp'!AG24</f>
        <v>28000</v>
      </c>
      <c r="AH24" s="131">
        <f>'8_1 imp'!AH24</f>
        <v>12000</v>
      </c>
      <c r="AI24" s="125">
        <f>'8_1 imp'!AI24</f>
        <v>233.33333333333334</v>
      </c>
      <c r="AJ24" s="132">
        <f>'8_1 imp'!AJ24</f>
        <v>1402.7766666666669</v>
      </c>
      <c r="AK24" s="132">
        <f>'8_1 imp'!AK24</f>
        <v>347.22222222222223</v>
      </c>
      <c r="AL24" s="132">
        <f>'8_1 imp'!AL24</f>
        <v>-159.88697730155164</v>
      </c>
      <c r="AM24" s="133">
        <f t="shared" si="14"/>
        <v>-4237.3564868455787</v>
      </c>
      <c r="AN24" s="124"/>
      <c r="AO24" s="125"/>
      <c r="AP24" s="131"/>
      <c r="AQ24" s="126"/>
      <c r="AR24" s="152"/>
      <c r="AS24" s="134"/>
    </row>
    <row r="25" spans="1:45">
      <c r="A25" s="18">
        <v>41172</v>
      </c>
      <c r="B25" s="37">
        <f t="shared" si="5"/>
        <v>4602.7777777777774</v>
      </c>
      <c r="C25" s="29">
        <v>4000</v>
      </c>
      <c r="D25" s="29">
        <f>I23*O$4*(A25-A23)/360</f>
        <v>602.77777777777783</v>
      </c>
      <c r="E25" s="38"/>
      <c r="F25" s="39"/>
      <c r="G25" s="47"/>
      <c r="H25" s="24">
        <f>(XNPV($O$6,B25:$B$37,A25:$A$37)-B25)*((1+$O$6)^(1/365))</f>
        <v>23886.356120071236</v>
      </c>
      <c r="I25" s="41">
        <f t="shared" si="2"/>
        <v>24000</v>
      </c>
      <c r="J25" s="29">
        <f t="shared" si="0"/>
        <v>0</v>
      </c>
      <c r="K25" s="42">
        <f t="shared" si="1"/>
        <v>-113.64387992876485</v>
      </c>
      <c r="L25" s="33">
        <f t="shared" si="8"/>
        <v>0</v>
      </c>
      <c r="M25" s="28">
        <f t="shared" si="3"/>
        <v>415.68754181723125</v>
      </c>
      <c r="N25" s="29">
        <f t="shared" ref="N25" si="18">I24*O$4*(A25-A24-1)/360</f>
        <v>369.44444444444446</v>
      </c>
      <c r="O25" s="30">
        <f t="shared" si="4"/>
        <v>46.243097372786792</v>
      </c>
      <c r="P25" s="43">
        <v>0</v>
      </c>
      <c r="Q25" s="44"/>
      <c r="R25" s="33"/>
      <c r="V25" s="45" t="e">
        <f>N25-#REF!</f>
        <v>#REF!</v>
      </c>
      <c r="W25" s="7" t="e">
        <f>J25-#REF!</f>
        <v>#REF!</v>
      </c>
      <c r="X25" s="7">
        <f>ROUND((O24+O25),2)</f>
        <v>40.78</v>
      </c>
      <c r="Y25" s="46" t="s">
        <v>28</v>
      </c>
      <c r="Z25" s="115">
        <v>41172</v>
      </c>
      <c r="AA25" s="128">
        <f t="shared" si="7"/>
        <v>0</v>
      </c>
      <c r="AB25" s="125"/>
      <c r="AC25" s="125"/>
      <c r="AD25" s="129"/>
      <c r="AE25" s="130">
        <f>(XNPV(AQ$6,AA25:AA$37,Z25:Z$37))</f>
        <v>38147.198890223975</v>
      </c>
      <c r="AF25" s="120">
        <f t="shared" si="12"/>
        <v>38147.198890223975</v>
      </c>
      <c r="AG25" s="131">
        <f>'8_1 imp'!AG25</f>
        <v>24000</v>
      </c>
      <c r="AH25" s="131">
        <f>'8_1 imp'!AH25</f>
        <v>16000</v>
      </c>
      <c r="AI25" s="125">
        <f>'8_1 imp'!AI25</f>
        <v>0</v>
      </c>
      <c r="AJ25" s="132">
        <f>'8_1 imp'!AJ25</f>
        <v>1636.1100000000001</v>
      </c>
      <c r="AK25" s="132">
        <f>'8_1 imp'!AK25</f>
        <v>513.88888888888891</v>
      </c>
      <c r="AL25" s="132">
        <f>'8_1 imp'!AL25</f>
        <v>-113.64387992876485</v>
      </c>
      <c r="AM25" s="133">
        <f t="shared" si="14"/>
        <v>-3889.156118736149</v>
      </c>
      <c r="AN25" s="124"/>
      <c r="AO25" s="125"/>
      <c r="AP25" s="131"/>
      <c r="AQ25" s="126"/>
      <c r="AR25" s="152"/>
      <c r="AS25" s="134"/>
    </row>
    <row r="26" spans="1:45">
      <c r="A26" s="18">
        <v>41182</v>
      </c>
      <c r="B26" s="37">
        <f t="shared" si="5"/>
        <v>0</v>
      </c>
      <c r="C26" s="29"/>
      <c r="D26" s="29">
        <v>0</v>
      </c>
      <c r="E26" s="38"/>
      <c r="F26" s="39"/>
      <c r="G26" s="47"/>
      <c r="H26" s="24">
        <f>(XNPV($O$6,B26:$B$37,A26:$A$37)-B26)*((1+$O$6)^(1/365))</f>
        <v>24063.991317668446</v>
      </c>
      <c r="I26" s="41">
        <f t="shared" si="2"/>
        <v>24000</v>
      </c>
      <c r="J26" s="29">
        <f t="shared" si="0"/>
        <v>183.33333333333334</v>
      </c>
      <c r="K26" s="42">
        <f t="shared" si="1"/>
        <v>-119.34201566488798</v>
      </c>
      <c r="L26" s="33">
        <f t="shared" si="8"/>
        <v>0</v>
      </c>
      <c r="M26" s="28">
        <f t="shared" si="3"/>
        <v>177.63519759721021</v>
      </c>
      <c r="N26" s="29">
        <f t="shared" ref="N26" si="19">I25*O$4*(A26-A25+1)/360</f>
        <v>183.33333333333334</v>
      </c>
      <c r="O26" s="30">
        <f t="shared" si="4"/>
        <v>-5.6981357361231346</v>
      </c>
      <c r="P26" s="43">
        <v>0</v>
      </c>
      <c r="Q26" s="44">
        <f>M26/H24</f>
        <v>6.3275165914584621E-3</v>
      </c>
      <c r="R26" s="33"/>
      <c r="S26" s="2">
        <f>N25+N26-D26</f>
        <v>552.77777777777783</v>
      </c>
      <c r="T26" s="7">
        <f>O26+O25</f>
        <v>40.544961636663658</v>
      </c>
      <c r="U26" s="7">
        <f>M25+M26</f>
        <v>593.32273941444146</v>
      </c>
      <c r="V26" s="45" t="e">
        <f>N26-#REF!</f>
        <v>#REF!</v>
      </c>
      <c r="W26" s="7" t="e">
        <f>J26-#REF!</f>
        <v>#REF!</v>
      </c>
      <c r="X26" s="7"/>
      <c r="Z26" s="115">
        <v>41182</v>
      </c>
      <c r="AA26" s="128">
        <f t="shared" si="7"/>
        <v>0</v>
      </c>
      <c r="AB26" s="125"/>
      <c r="AC26" s="125"/>
      <c r="AD26" s="129"/>
      <c r="AE26" s="130">
        <f>(XNPV(AQ$6,AA26:AA$37,Z26:Z$37))</f>
        <v>38430.887418460858</v>
      </c>
      <c r="AF26" s="120">
        <f t="shared" si="12"/>
        <v>38430.887418460865</v>
      </c>
      <c r="AG26" s="131">
        <f>'8_1 imp'!AG26</f>
        <v>24000</v>
      </c>
      <c r="AH26" s="131">
        <f>'8_1 imp'!AH26</f>
        <v>16000</v>
      </c>
      <c r="AI26" s="125">
        <f>'8_1 imp'!AI26</f>
        <v>183.33333333333334</v>
      </c>
      <c r="AJ26" s="132">
        <f>'8_1 imp'!AJ26</f>
        <v>1636.1100000000001</v>
      </c>
      <c r="AK26" s="132">
        <f>'8_1 imp'!AK26</f>
        <v>625</v>
      </c>
      <c r="AL26" s="132">
        <f>'8_1 imp'!AL26</f>
        <v>-119.34201566488798</v>
      </c>
      <c r="AM26" s="133">
        <f t="shared" si="14"/>
        <v>-3894.2138992075879</v>
      </c>
      <c r="AN26" s="124"/>
      <c r="AO26" s="125"/>
      <c r="AP26" s="131"/>
      <c r="AQ26" s="126"/>
      <c r="AR26" s="152"/>
      <c r="AS26" s="134"/>
    </row>
    <row r="27" spans="1:45">
      <c r="A27" s="18">
        <v>41202</v>
      </c>
      <c r="B27" s="37">
        <f t="shared" si="5"/>
        <v>4500</v>
      </c>
      <c r="C27" s="29">
        <v>4000</v>
      </c>
      <c r="D27" s="29">
        <f>I25*O$4*(A27-A25)/360</f>
        <v>500</v>
      </c>
      <c r="E27" s="38"/>
      <c r="F27" s="39"/>
      <c r="G27" s="47"/>
      <c r="H27" s="24">
        <f>(XNPV($O$6,B27:$B$37,A27:$A$37)-B27)*((1+$O$6)^(1/365))</f>
        <v>19919.899225879293</v>
      </c>
      <c r="I27" s="41">
        <f t="shared" si="2"/>
        <v>20000</v>
      </c>
      <c r="J27" s="29">
        <f t="shared" si="0"/>
        <v>0</v>
      </c>
      <c r="K27" s="42">
        <f t="shared" si="1"/>
        <v>-80.100774120707285</v>
      </c>
      <c r="L27" s="33">
        <f t="shared" si="8"/>
        <v>0</v>
      </c>
      <c r="M27" s="28">
        <f t="shared" si="3"/>
        <v>355.90790821084738</v>
      </c>
      <c r="N27" s="29">
        <f t="shared" ref="N27" si="20">I26*O$4*(A27-A26-1)/360</f>
        <v>316.66666666666669</v>
      </c>
      <c r="O27" s="30">
        <f t="shared" si="4"/>
        <v>39.241241544180696</v>
      </c>
      <c r="P27" s="43">
        <v>0</v>
      </c>
      <c r="Q27" s="44"/>
      <c r="R27" s="33"/>
      <c r="V27" s="45" t="e">
        <f>N27-#REF!</f>
        <v>#REF!</v>
      </c>
      <c r="W27" s="7" t="e">
        <f>J27-#REF!</f>
        <v>#REF!</v>
      </c>
      <c r="X27" s="7">
        <f>ROUND((O26+O27),2)</f>
        <v>33.54</v>
      </c>
      <c r="Y27" s="46" t="s">
        <v>28</v>
      </c>
      <c r="Z27" s="115">
        <v>41202</v>
      </c>
      <c r="AA27" s="128">
        <f t="shared" si="7"/>
        <v>0</v>
      </c>
      <c r="AB27" s="125"/>
      <c r="AC27" s="125"/>
      <c r="AD27" s="129"/>
      <c r="AE27" s="130">
        <f>(XNPV(AQ$6,AA27:AA$37,Z27:Z$37))</f>
        <v>39004.609266902415</v>
      </c>
      <c r="AF27" s="120">
        <f t="shared" si="12"/>
        <v>39004.609266902415</v>
      </c>
      <c r="AG27" s="131">
        <f>'8_1 imp'!AG27</f>
        <v>20000</v>
      </c>
      <c r="AH27" s="131">
        <f>'8_1 imp'!AH27</f>
        <v>20000</v>
      </c>
      <c r="AI27" s="125">
        <f>'8_1 imp'!AI27</f>
        <v>0</v>
      </c>
      <c r="AJ27" s="132">
        <f>'8_1 imp'!AJ27</f>
        <v>1819.4433333333334</v>
      </c>
      <c r="AK27" s="132">
        <f>'8_1 imp'!AK27</f>
        <v>847.22222222222217</v>
      </c>
      <c r="AL27" s="132">
        <f>'8_1 imp'!AL27</f>
        <v>-80.100774120707285</v>
      </c>
      <c r="AM27" s="133">
        <f t="shared" si="14"/>
        <v>-3581.9555145324339</v>
      </c>
      <c r="AN27" s="124"/>
      <c r="AO27" s="125"/>
      <c r="AP27" s="131"/>
      <c r="AQ27" s="126"/>
      <c r="AR27" s="152"/>
      <c r="AS27" s="134"/>
    </row>
    <row r="28" spans="1:45">
      <c r="A28" s="18">
        <v>41213</v>
      </c>
      <c r="B28" s="37">
        <f t="shared" si="5"/>
        <v>0</v>
      </c>
      <c r="C28" s="29"/>
      <c r="D28" s="29">
        <v>0</v>
      </c>
      <c r="E28" s="38"/>
      <c r="F28" s="39"/>
      <c r="G28" s="47"/>
      <c r="H28" s="24">
        <f>(XNPV($O$6,B28:$B$37,A28:$A$37)-B28)*((1+$O$6)^(1/365))</f>
        <v>20082.911399837532</v>
      </c>
      <c r="I28" s="41">
        <f t="shared" si="2"/>
        <v>20000</v>
      </c>
      <c r="J28" s="29">
        <f t="shared" si="0"/>
        <v>166.66666666666666</v>
      </c>
      <c r="K28" s="42">
        <f t="shared" si="1"/>
        <v>-83.755266829134797</v>
      </c>
      <c r="L28" s="33">
        <f t="shared" si="8"/>
        <v>0</v>
      </c>
      <c r="M28" s="28">
        <f t="shared" si="3"/>
        <v>163.01217395823915</v>
      </c>
      <c r="N28" s="29">
        <f t="shared" ref="N28" si="21">I27*O$4*(A28-A27+1)/360</f>
        <v>166.66666666666666</v>
      </c>
      <c r="O28" s="30">
        <f t="shared" si="4"/>
        <v>-3.6544927084275116</v>
      </c>
      <c r="P28" s="43">
        <v>0</v>
      </c>
      <c r="Q28" s="44">
        <f>M28/H26</f>
        <v>6.7741120667106922E-3</v>
      </c>
      <c r="R28" s="33"/>
      <c r="S28" s="2">
        <f>N27+N28-D28</f>
        <v>483.33333333333337</v>
      </c>
      <c r="T28" s="7">
        <f>O28+O27</f>
        <v>35.586748835753184</v>
      </c>
      <c r="U28" s="7">
        <f>M27+M28</f>
        <v>518.92008216908653</v>
      </c>
      <c r="V28" s="45" t="e">
        <f>N28-#REF!</f>
        <v>#REF!</v>
      </c>
      <c r="W28" s="7" t="e">
        <f>J28-#REF!</f>
        <v>#REF!</v>
      </c>
      <c r="X28" s="7"/>
      <c r="Z28" s="115">
        <v>41213</v>
      </c>
      <c r="AA28" s="128">
        <f t="shared" si="7"/>
        <v>0</v>
      </c>
      <c r="AB28" s="125"/>
      <c r="AC28" s="125"/>
      <c r="AD28" s="129"/>
      <c r="AE28" s="130">
        <f>(XNPV(AQ$6,AA28:AA$37,Z28:Z$37))</f>
        <v>39323.798941453038</v>
      </c>
      <c r="AF28" s="120">
        <f t="shared" si="12"/>
        <v>39323.798941453038</v>
      </c>
      <c r="AG28" s="131">
        <f>'8_1 imp'!AG28</f>
        <v>20000</v>
      </c>
      <c r="AH28" s="131">
        <f>'8_1 imp'!AH28</f>
        <v>20000</v>
      </c>
      <c r="AI28" s="125">
        <f>'8_1 imp'!AI28</f>
        <v>166.66666666666666</v>
      </c>
      <c r="AJ28" s="132">
        <f>'8_1 imp'!AJ28</f>
        <v>1819.4433333333334</v>
      </c>
      <c r="AK28" s="132">
        <f>'8_1 imp'!AK28</f>
        <v>1000</v>
      </c>
      <c r="AL28" s="132">
        <f>'8_1 imp'!AL28</f>
        <v>-83.755266829134797</v>
      </c>
      <c r="AM28" s="133">
        <f t="shared" si="14"/>
        <v>-3578.5557917178271</v>
      </c>
      <c r="AN28" s="124"/>
      <c r="AO28" s="125"/>
      <c r="AP28" s="131"/>
      <c r="AQ28" s="126"/>
      <c r="AR28" s="152"/>
      <c r="AS28" s="134"/>
    </row>
    <row r="29" spans="1:45">
      <c r="A29" s="18">
        <v>41233</v>
      </c>
      <c r="B29" s="37">
        <f t="shared" si="5"/>
        <v>4430.5555555555557</v>
      </c>
      <c r="C29" s="29">
        <v>4000</v>
      </c>
      <c r="D29" s="29">
        <f>I27*O$4*(A29-A27)/360</f>
        <v>430.55555555555554</v>
      </c>
      <c r="E29" s="38"/>
      <c r="F29" s="39"/>
      <c r="G29" s="47"/>
      <c r="H29" s="24">
        <f>(XNPV($O$6,B29:$B$37,A29:$A$37)-B29)*((1+$O$6)^(1/365))</f>
        <v>15948.883015191403</v>
      </c>
      <c r="I29" s="41">
        <f t="shared" si="2"/>
        <v>16000</v>
      </c>
      <c r="J29" s="29">
        <f t="shared" si="0"/>
        <v>0</v>
      </c>
      <c r="K29" s="42">
        <f t="shared" si="1"/>
        <v>-51.116984808597834</v>
      </c>
      <c r="L29" s="33">
        <f t="shared" si="8"/>
        <v>0</v>
      </c>
      <c r="M29" s="28">
        <f t="shared" si="3"/>
        <v>296.52717090942588</v>
      </c>
      <c r="N29" s="29">
        <f t="shared" ref="N29" si="22">I28*O$4*(A29-A28-1)/360</f>
        <v>263.88888888888891</v>
      </c>
      <c r="O29" s="30">
        <f t="shared" si="4"/>
        <v>32.638282020536963</v>
      </c>
      <c r="P29" s="43">
        <v>0</v>
      </c>
      <c r="Q29" s="44"/>
      <c r="R29" s="33"/>
      <c r="V29" s="45" t="e">
        <f>N29-#REF!</f>
        <v>#REF!</v>
      </c>
      <c r="W29" s="7" t="e">
        <f>J29-#REF!</f>
        <v>#REF!</v>
      </c>
      <c r="X29" s="7">
        <f>ROUND((O28+O29),2)</f>
        <v>28.98</v>
      </c>
      <c r="Y29" s="46" t="s">
        <v>28</v>
      </c>
      <c r="Z29" s="115">
        <v>41233</v>
      </c>
      <c r="AA29" s="128">
        <f t="shared" si="7"/>
        <v>0</v>
      </c>
      <c r="AB29" s="125"/>
      <c r="AC29" s="125"/>
      <c r="AD29" s="129"/>
      <c r="AE29" s="130">
        <f>(XNPV(AQ$6,AA29:AA$37,Z29:Z$37))</f>
        <v>39910.850767000979</v>
      </c>
      <c r="AF29" s="120">
        <f t="shared" si="12"/>
        <v>39910.850767000979</v>
      </c>
      <c r="AG29" s="131">
        <f>'8_1 imp'!AG29</f>
        <v>16000</v>
      </c>
      <c r="AH29" s="131">
        <f>'8_1 imp'!AH29</f>
        <v>24000</v>
      </c>
      <c r="AI29" s="125">
        <f>'8_1 imp'!AI29</f>
        <v>0</v>
      </c>
      <c r="AJ29" s="132">
        <f>'8_1 imp'!AJ29</f>
        <v>1986.1100000000001</v>
      </c>
      <c r="AK29" s="132">
        <f>'8_1 imp'!AK29</f>
        <v>1277.7777777777778</v>
      </c>
      <c r="AL29" s="132">
        <f>'8_1 imp'!AL29</f>
        <v>-51.116984808597834</v>
      </c>
      <c r="AM29" s="133">
        <f t="shared" si="14"/>
        <v>-3301.9200259682016</v>
      </c>
      <c r="AN29" s="124"/>
      <c r="AO29" s="125"/>
      <c r="AP29" s="131"/>
      <c r="AQ29" s="126"/>
      <c r="AR29" s="152"/>
      <c r="AS29" s="134"/>
    </row>
    <row r="30" spans="1:45">
      <c r="A30" s="18">
        <v>41243</v>
      </c>
      <c r="B30" s="37">
        <f t="shared" si="5"/>
        <v>0</v>
      </c>
      <c r="C30" s="29"/>
      <c r="D30" s="29">
        <v>0</v>
      </c>
      <c r="E30" s="38"/>
      <c r="F30" s="39"/>
      <c r="G30" s="47"/>
      <c r="H30" s="24">
        <f>(XNPV($O$6,B30:$B$37,A30:$A$37)-B30)*((1+$O$6)^(1/365))</f>
        <v>16067.489761721388</v>
      </c>
      <c r="I30" s="41">
        <f t="shared" si="2"/>
        <v>16000</v>
      </c>
      <c r="J30" s="29">
        <f t="shared" si="0"/>
        <v>122.22222222222223</v>
      </c>
      <c r="K30" s="42">
        <f t="shared" si="1"/>
        <v>-54.732460500834378</v>
      </c>
      <c r="L30" s="33">
        <f t="shared" si="8"/>
        <v>0</v>
      </c>
      <c r="M30" s="28">
        <f t="shared" si="3"/>
        <v>118.60674652998568</v>
      </c>
      <c r="N30" s="29">
        <f t="shared" ref="N30" si="23">I29*O$4*(A30-A29+1)/360</f>
        <v>122.22222222222223</v>
      </c>
      <c r="O30" s="30">
        <f t="shared" si="4"/>
        <v>-3.6154756922365436</v>
      </c>
      <c r="P30" s="43">
        <v>0</v>
      </c>
      <c r="Q30" s="44">
        <f>M30/H28</f>
        <v>5.9058541945738599E-3</v>
      </c>
      <c r="R30" s="33"/>
      <c r="S30" s="2">
        <f>N29+N30-D30</f>
        <v>386.11111111111114</v>
      </c>
      <c r="T30" s="7">
        <f>O30+O29</f>
        <v>29.022806328300419</v>
      </c>
      <c r="U30" s="7">
        <f>M29+M30</f>
        <v>415.13391743941156</v>
      </c>
      <c r="V30" s="45" t="e">
        <f>N30-#REF!</f>
        <v>#REF!</v>
      </c>
      <c r="W30" s="7" t="e">
        <f>J30-#REF!</f>
        <v>#REF!</v>
      </c>
      <c r="X30" s="7"/>
      <c r="Z30" s="115">
        <v>41243</v>
      </c>
      <c r="AA30" s="128">
        <f t="shared" si="7"/>
        <v>0</v>
      </c>
      <c r="AB30" s="125"/>
      <c r="AC30" s="125"/>
      <c r="AD30" s="129"/>
      <c r="AE30" s="130">
        <f>(XNPV(AQ$6,AA30:AA$37,Z30:Z$37))</f>
        <v>40207.655010671777</v>
      </c>
      <c r="AF30" s="120">
        <f t="shared" si="12"/>
        <v>40207.655010671777</v>
      </c>
      <c r="AG30" s="131">
        <f>'8_1 imp'!AG30</f>
        <v>16000</v>
      </c>
      <c r="AH30" s="131">
        <f>'8_1 imp'!AH30</f>
        <v>24000</v>
      </c>
      <c r="AI30" s="125">
        <f>'8_1 imp'!AI30</f>
        <v>122.22222222222223</v>
      </c>
      <c r="AJ30" s="132">
        <f>'8_1 imp'!AJ30</f>
        <v>1986.1100000000001</v>
      </c>
      <c r="AK30" s="132">
        <f>'8_1 imp'!AK30</f>
        <v>1444.4444444444446</v>
      </c>
      <c r="AL30" s="132">
        <f>'8_1 imp'!AL30</f>
        <v>-54.732460500834378</v>
      </c>
      <c r="AM30" s="133">
        <f t="shared" si="14"/>
        <v>-3290.3891954940555</v>
      </c>
      <c r="AN30" s="124"/>
      <c r="AO30" s="125"/>
      <c r="AP30" s="131"/>
      <c r="AQ30" s="126"/>
      <c r="AR30" s="152"/>
      <c r="AS30" s="134"/>
    </row>
    <row r="31" spans="1:45">
      <c r="A31" s="18">
        <v>41263</v>
      </c>
      <c r="B31" s="37">
        <f t="shared" si="5"/>
        <v>4333.333333333333</v>
      </c>
      <c r="C31" s="29">
        <v>4000</v>
      </c>
      <c r="D31" s="29">
        <f>I29*O$4*(A31-A29)/360</f>
        <v>333.33333333333331</v>
      </c>
      <c r="E31" s="38"/>
      <c r="F31" s="39"/>
      <c r="G31" s="47"/>
      <c r="H31" s="24">
        <f>(XNPV($O$6,B31:$B$37,A31:$A$37)-B31)*((1+$O$6)^(1/365))</f>
        <v>11970.810774593634</v>
      </c>
      <c r="I31" s="41">
        <f t="shared" si="2"/>
        <v>12000</v>
      </c>
      <c r="J31" s="29">
        <f t="shared" si="0"/>
        <v>0</v>
      </c>
      <c r="K31" s="42">
        <f t="shared" si="1"/>
        <v>-29.189225406366688</v>
      </c>
      <c r="L31" s="33">
        <f t="shared" si="8"/>
        <v>0</v>
      </c>
      <c r="M31" s="28">
        <f t="shared" si="3"/>
        <v>236.6543462055788</v>
      </c>
      <c r="N31" s="29">
        <f t="shared" ref="N31" si="24">I30*O$4*(A31-A30-1)/360</f>
        <v>211.11111111111111</v>
      </c>
      <c r="O31" s="30">
        <f t="shared" si="4"/>
        <v>25.54323509446769</v>
      </c>
      <c r="P31" s="43">
        <v>0</v>
      </c>
      <c r="Q31" s="44"/>
      <c r="R31" s="33"/>
      <c r="V31" s="45" t="e">
        <f>N31-#REF!</f>
        <v>#REF!</v>
      </c>
      <c r="W31" s="7" t="e">
        <f>J31-#REF!</f>
        <v>#REF!</v>
      </c>
      <c r="X31" s="7">
        <f>ROUND((O30+O31),2)</f>
        <v>21.93</v>
      </c>
      <c r="Y31" s="46" t="s">
        <v>28</v>
      </c>
      <c r="Z31" s="115">
        <v>41263</v>
      </c>
      <c r="AA31" s="128">
        <f t="shared" si="7"/>
        <v>0</v>
      </c>
      <c r="AB31" s="125"/>
      <c r="AC31" s="125"/>
      <c r="AD31" s="129"/>
      <c r="AE31" s="130">
        <f>(XNPV(AQ$6,AA31:AA$37,Z31:Z$37))</f>
        <v>40807.90162748922</v>
      </c>
      <c r="AF31" s="120">
        <f t="shared" si="12"/>
        <v>40807.90162748922</v>
      </c>
      <c r="AG31" s="131">
        <f>'8_1 imp'!AG31</f>
        <v>12000</v>
      </c>
      <c r="AH31" s="131">
        <f>'8_1 imp'!AH31</f>
        <v>28000</v>
      </c>
      <c r="AI31" s="125">
        <f>'8_1 imp'!AI31</f>
        <v>0</v>
      </c>
      <c r="AJ31" s="132">
        <f>'8_1 imp'!AJ31</f>
        <v>2108.3322222222223</v>
      </c>
      <c r="AK31" s="132">
        <f>'8_1 imp'!AK31</f>
        <v>1777.7777777777778</v>
      </c>
      <c r="AL31" s="132">
        <f>'8_1 imp'!AL31</f>
        <v>-29.189225406366688</v>
      </c>
      <c r="AM31" s="133">
        <f t="shared" si="14"/>
        <v>-3049.0191471044132</v>
      </c>
      <c r="AN31" s="124"/>
      <c r="AO31" s="125"/>
      <c r="AP31" s="131"/>
      <c r="AQ31" s="126"/>
      <c r="AR31" s="152"/>
      <c r="AS31" s="134"/>
    </row>
    <row r="32" spans="1:45">
      <c r="A32" s="18">
        <v>41274</v>
      </c>
      <c r="B32" s="37">
        <f t="shared" si="5"/>
        <v>0</v>
      </c>
      <c r="C32" s="29"/>
      <c r="D32" s="29">
        <v>0</v>
      </c>
      <c r="E32" s="38"/>
      <c r="F32" s="39"/>
      <c r="G32" s="47"/>
      <c r="H32" s="24">
        <f>(XNPV($O$6,B32:$B$37,A32:$A$37)-B32)*((1+$O$6)^(1/365))</f>
        <v>12068.772509554326</v>
      </c>
      <c r="I32" s="41">
        <f t="shared" si="2"/>
        <v>12000</v>
      </c>
      <c r="J32" s="29">
        <f t="shared" si="0"/>
        <v>100</v>
      </c>
      <c r="K32" s="42">
        <f t="shared" si="1"/>
        <v>-31.227490445674277</v>
      </c>
      <c r="L32" s="33">
        <f t="shared" si="8"/>
        <v>0</v>
      </c>
      <c r="M32" s="28">
        <f t="shared" si="3"/>
        <v>97.961734960692411</v>
      </c>
      <c r="N32" s="29">
        <f t="shared" ref="N32" si="25">I31*O$4*(A32-A31+1)/360</f>
        <v>100</v>
      </c>
      <c r="O32" s="30">
        <f t="shared" si="4"/>
        <v>-2.0382650393075892</v>
      </c>
      <c r="P32" s="43">
        <v>0</v>
      </c>
      <c r="Q32" s="44">
        <f>M32/H30</f>
        <v>6.0968910771658268E-3</v>
      </c>
      <c r="R32" s="33"/>
      <c r="S32" s="2">
        <f>N31+N32-D32</f>
        <v>311.11111111111109</v>
      </c>
      <c r="T32" s="7">
        <f>O32+O31</f>
        <v>23.504970055160101</v>
      </c>
      <c r="U32" s="7">
        <f>M31+M32</f>
        <v>334.61608116627121</v>
      </c>
      <c r="V32" s="45" t="e">
        <f>N32-#REF!</f>
        <v>#REF!</v>
      </c>
      <c r="W32" s="7" t="e">
        <f>J32-#REF!</f>
        <v>#REF!</v>
      </c>
      <c r="X32" s="7"/>
      <c r="Z32" s="115">
        <v>41274</v>
      </c>
      <c r="AA32" s="128">
        <f t="shared" si="7"/>
        <v>0</v>
      </c>
      <c r="AB32" s="125"/>
      <c r="AC32" s="125"/>
      <c r="AD32" s="129"/>
      <c r="AE32" s="130">
        <f>(XNPV(AQ$6,AA32:AA$37,Z32:Z$37))</f>
        <v>41141.848334926821</v>
      </c>
      <c r="AF32" s="120">
        <f t="shared" si="12"/>
        <v>41141.848334926821</v>
      </c>
      <c r="AG32" s="131">
        <f>'8_1 imp'!AG32</f>
        <v>12000</v>
      </c>
      <c r="AH32" s="131">
        <f>'8_1 imp'!AH32</f>
        <v>28000</v>
      </c>
      <c r="AI32" s="125">
        <f>'8_1 imp'!AI32</f>
        <v>100</v>
      </c>
      <c r="AJ32" s="132">
        <f>'8_1 imp'!AJ32</f>
        <v>2108.3322222222223</v>
      </c>
      <c r="AK32" s="132">
        <f>'8_1 imp'!AK32</f>
        <v>1991.6666666666667</v>
      </c>
      <c r="AL32" s="132">
        <f>'8_1 imp'!AL32</f>
        <v>-31.227490445674277</v>
      </c>
      <c r="AM32" s="133">
        <f t="shared" si="14"/>
        <v>-3026.923063516394</v>
      </c>
      <c r="AN32" s="124"/>
      <c r="AO32" s="125"/>
      <c r="AP32" s="131"/>
      <c r="AQ32" s="126"/>
      <c r="AR32" s="152"/>
      <c r="AS32" s="134"/>
    </row>
    <row r="33" spans="1:45">
      <c r="A33" s="18">
        <v>41294</v>
      </c>
      <c r="B33" s="37">
        <f t="shared" si="5"/>
        <v>4258.333333333333</v>
      </c>
      <c r="C33" s="29">
        <v>4000</v>
      </c>
      <c r="D33" s="29">
        <f>I31*O$4*(A33-A31)/360</f>
        <v>258.33333333333331</v>
      </c>
      <c r="E33" s="38"/>
      <c r="F33" s="39"/>
      <c r="G33" s="47"/>
      <c r="H33" s="24">
        <f>(XNPV($O$6,B33:$B$37,A33:$A$37)-B33)*((1+$O$6)^(1/365))</f>
        <v>7987.4536009951353</v>
      </c>
      <c r="I33" s="41">
        <f t="shared" si="2"/>
        <v>8000</v>
      </c>
      <c r="J33" s="29">
        <f t="shared" si="0"/>
        <v>0</v>
      </c>
      <c r="K33" s="42">
        <f t="shared" si="1"/>
        <v>-12.546399004865776</v>
      </c>
      <c r="L33" s="33">
        <f t="shared" si="8"/>
        <v>0</v>
      </c>
      <c r="M33" s="28">
        <f t="shared" si="3"/>
        <v>177.01442477414184</v>
      </c>
      <c r="N33" s="29">
        <f t="shared" ref="N33" si="26">I32*O$4*(A33-A32-1)/360</f>
        <v>158.33333333333334</v>
      </c>
      <c r="O33" s="30">
        <f t="shared" si="4"/>
        <v>18.681091440808501</v>
      </c>
      <c r="P33" s="43">
        <v>0</v>
      </c>
      <c r="Q33" s="44"/>
      <c r="R33" s="33"/>
      <c r="V33" s="45" t="e">
        <f>N33-#REF!</f>
        <v>#REF!</v>
      </c>
      <c r="W33" s="7" t="e">
        <f>J33-#REF!</f>
        <v>#REF!</v>
      </c>
      <c r="X33" s="7">
        <f>ROUND((O32+O33),2)</f>
        <v>16.64</v>
      </c>
      <c r="Y33" s="46" t="s">
        <v>28</v>
      </c>
      <c r="Z33" s="115">
        <v>41294</v>
      </c>
      <c r="AA33" s="128">
        <f t="shared" si="7"/>
        <v>0</v>
      </c>
      <c r="AB33" s="125"/>
      <c r="AC33" s="125"/>
      <c r="AD33" s="129"/>
      <c r="AE33" s="130">
        <f>(XNPV(AQ$6,AA33:AA$37,Z33:Z$37))</f>
        <v>41756.04121103714</v>
      </c>
      <c r="AF33" s="120">
        <f t="shared" si="12"/>
        <v>41756.041211037133</v>
      </c>
      <c r="AG33" s="131">
        <f>'8_1 imp'!AG33</f>
        <v>8000</v>
      </c>
      <c r="AH33" s="131">
        <f>'8_1 imp'!AH33</f>
        <v>32000</v>
      </c>
      <c r="AI33" s="125">
        <f>'8_1 imp'!AI33</f>
        <v>0</v>
      </c>
      <c r="AJ33" s="132">
        <f>'8_1 imp'!AJ33</f>
        <v>2208.3322222222223</v>
      </c>
      <c r="AK33" s="132">
        <f>'8_1 imp'!AK33</f>
        <v>2380.5555555555557</v>
      </c>
      <c r="AL33" s="132">
        <f>'8_1 imp'!AL33</f>
        <v>-12.546399004865776</v>
      </c>
      <c r="AM33" s="133">
        <f t="shared" si="14"/>
        <v>-2820.3001677357724</v>
      </c>
      <c r="AN33" s="124"/>
      <c r="AO33" s="125"/>
      <c r="AP33" s="131"/>
      <c r="AQ33" s="126"/>
      <c r="AR33" s="152"/>
      <c r="AS33" s="134"/>
    </row>
    <row r="34" spans="1:45">
      <c r="A34" s="18">
        <v>41305</v>
      </c>
      <c r="B34" s="37">
        <f t="shared" si="5"/>
        <v>0</v>
      </c>
      <c r="C34" s="29"/>
      <c r="D34" s="29">
        <v>0</v>
      </c>
      <c r="E34" s="38"/>
      <c r="F34" s="39"/>
      <c r="G34" s="47"/>
      <c r="H34" s="24">
        <f>(XNPV($O$6,B34:$B$37,A34:$A$37)-B34)*((1+$O$6)^(1/365))</f>
        <v>8052.8179967244687</v>
      </c>
      <c r="I34" s="41">
        <f t="shared" si="2"/>
        <v>8000</v>
      </c>
      <c r="J34" s="29">
        <f t="shared" si="0"/>
        <v>66.666666666666671</v>
      </c>
      <c r="K34" s="42">
        <f t="shared" si="1"/>
        <v>-13.848669942199038</v>
      </c>
      <c r="L34" s="33">
        <f t="shared" si="8"/>
        <v>0</v>
      </c>
      <c r="M34" s="28">
        <f t="shared" si="3"/>
        <v>65.36439572933341</v>
      </c>
      <c r="N34" s="29">
        <f t="shared" ref="N34" si="27">I33*O$4*(A34-A33+1)/360</f>
        <v>66.666666666666671</v>
      </c>
      <c r="O34" s="30">
        <f t="shared" si="4"/>
        <v>-1.3022709373332617</v>
      </c>
      <c r="P34" s="43">
        <v>0</v>
      </c>
      <c r="Q34" s="44">
        <f>M34/H32</f>
        <v>5.4159936876419902E-3</v>
      </c>
      <c r="R34" s="33"/>
      <c r="S34" s="2">
        <f>N33+N34-D34</f>
        <v>225</v>
      </c>
      <c r="T34" s="7">
        <f>O34+O33</f>
        <v>17.378820503475239</v>
      </c>
      <c r="U34" s="7">
        <f>M33+M34</f>
        <v>242.37882050347525</v>
      </c>
      <c r="V34" s="45" t="e">
        <f>N34-#REF!</f>
        <v>#REF!</v>
      </c>
      <c r="W34" s="7" t="e">
        <f>J34-#REF!</f>
        <v>#REF!</v>
      </c>
      <c r="X34" s="7"/>
      <c r="Z34" s="115">
        <v>41305</v>
      </c>
      <c r="AA34" s="128">
        <f t="shared" si="7"/>
        <v>0</v>
      </c>
      <c r="AB34" s="125"/>
      <c r="AC34" s="125"/>
      <c r="AD34" s="129"/>
      <c r="AE34" s="130">
        <f>(XNPV(AQ$6,AA34:AA$37,Z34:Z$37))</f>
        <v>42097.746908265675</v>
      </c>
      <c r="AF34" s="120">
        <f t="shared" si="12"/>
        <v>42097.746908265668</v>
      </c>
      <c r="AG34" s="131">
        <f>'8_1 imp'!AG34</f>
        <v>8000</v>
      </c>
      <c r="AH34" s="131">
        <f>'8_1 imp'!AH34</f>
        <v>32000</v>
      </c>
      <c r="AI34" s="125">
        <f>'8_1 imp'!AI34</f>
        <v>66.666666666666671</v>
      </c>
      <c r="AJ34" s="132">
        <f>'8_1 imp'!AJ34</f>
        <v>2208.3322222222223</v>
      </c>
      <c r="AK34" s="132">
        <f>'8_1 imp'!AK34</f>
        <v>2625</v>
      </c>
      <c r="AL34" s="132">
        <f>'8_1 imp'!AL34</f>
        <v>-13.848669942199038</v>
      </c>
      <c r="AM34" s="133">
        <f t="shared" si="14"/>
        <v>-2788.4033106810148</v>
      </c>
      <c r="AN34" s="124"/>
      <c r="AO34" s="125"/>
      <c r="AP34" s="131"/>
      <c r="AQ34" s="126"/>
      <c r="AR34" s="152"/>
      <c r="AS34" s="134"/>
    </row>
    <row r="35" spans="1:45">
      <c r="A35" s="18">
        <v>41325</v>
      </c>
      <c r="B35" s="37">
        <f t="shared" si="5"/>
        <v>4172.2222222222226</v>
      </c>
      <c r="C35" s="29">
        <v>4000</v>
      </c>
      <c r="D35" s="29">
        <f>I33*O$4*(A35-A33)/360</f>
        <v>172.22222222222223</v>
      </c>
      <c r="E35" s="38"/>
      <c r="F35" s="39"/>
      <c r="G35" s="47"/>
      <c r="H35" s="24">
        <f>(XNPV($O$6,B35:$B$37,A35:$A$37)-B35)*((1+$O$6)^(1/365))</f>
        <v>3997.7211840086838</v>
      </c>
      <c r="I35" s="41">
        <f t="shared" si="2"/>
        <v>4000</v>
      </c>
      <c r="J35" s="29">
        <f t="shared" si="0"/>
        <v>0</v>
      </c>
      <c r="K35" s="42">
        <f t="shared" si="1"/>
        <v>-2.2788159913168045</v>
      </c>
      <c r="L35" s="33">
        <f t="shared" si="8"/>
        <v>0</v>
      </c>
      <c r="M35" s="28">
        <f t="shared" si="3"/>
        <v>117.12540950643779</v>
      </c>
      <c r="N35" s="29">
        <f t="shared" ref="N35" si="28">I34*O$4*(A35-A34-1)/360</f>
        <v>105.55555555555556</v>
      </c>
      <c r="O35" s="30">
        <f t="shared" si="4"/>
        <v>11.569853950882234</v>
      </c>
      <c r="P35" s="43">
        <v>0</v>
      </c>
      <c r="Q35" s="44"/>
      <c r="R35" s="33"/>
      <c r="V35" s="45" t="e">
        <f>N35-#REF!</f>
        <v>#REF!</v>
      </c>
      <c r="W35" s="7" t="e">
        <f>J35-#REF!</f>
        <v>#REF!</v>
      </c>
      <c r="X35" s="7">
        <f>ROUND((O34+O35),2)</f>
        <v>10.27</v>
      </c>
      <c r="Y35" s="46" t="s">
        <v>28</v>
      </c>
      <c r="Z35" s="115">
        <v>41325</v>
      </c>
      <c r="AA35" s="128">
        <f t="shared" si="7"/>
        <v>0</v>
      </c>
      <c r="AB35" s="125"/>
      <c r="AC35" s="125"/>
      <c r="AD35" s="129"/>
      <c r="AE35" s="130">
        <f>(XNPV(AQ$6,AA35:AA$37,Z35:Z$37))</f>
        <v>42726.210074063747</v>
      </c>
      <c r="AF35" s="120">
        <f t="shared" si="12"/>
        <v>42726.210074063747</v>
      </c>
      <c r="AG35" s="131">
        <f>'8_1 imp'!AG35</f>
        <v>4000</v>
      </c>
      <c r="AH35" s="131">
        <f>'8_1 imp'!AH35</f>
        <v>36000</v>
      </c>
      <c r="AI35" s="125">
        <f>'8_1 imp'!AI35</f>
        <v>0</v>
      </c>
      <c r="AJ35" s="132">
        <f>'8_1 imp'!AJ35</f>
        <v>2274.9988888888888</v>
      </c>
      <c r="AK35" s="132">
        <f>'8_1 imp'!AK35</f>
        <v>3069.4444444444443</v>
      </c>
      <c r="AL35" s="132">
        <f>'8_1 imp'!AL35</f>
        <v>-2.2788159913168045</v>
      </c>
      <c r="AM35" s="133">
        <f t="shared" si="14"/>
        <v>-2615.9544432782695</v>
      </c>
      <c r="AN35" s="124"/>
      <c r="AO35" s="125"/>
      <c r="AP35" s="131"/>
      <c r="AQ35" s="126"/>
      <c r="AR35" s="152"/>
      <c r="AS35" s="134"/>
    </row>
    <row r="36" spans="1:45">
      <c r="A36" s="18">
        <v>41333</v>
      </c>
      <c r="B36" s="37">
        <f t="shared" si="5"/>
        <v>0</v>
      </c>
      <c r="C36" s="29"/>
      <c r="D36" s="29">
        <v>0</v>
      </c>
      <c r="E36" s="38"/>
      <c r="F36" s="39"/>
      <c r="G36" s="47"/>
      <c r="H36" s="24">
        <f>(XNPV($O$6,B36:$B$37,A36:$A$37)-B36)*((1+$O$6)^(1/365))</f>
        <v>4021.4873691226703</v>
      </c>
      <c r="I36" s="41">
        <f t="shared" si="2"/>
        <v>4000</v>
      </c>
      <c r="J36" s="29">
        <f t="shared" si="0"/>
        <v>25</v>
      </c>
      <c r="K36" s="42">
        <f t="shared" si="1"/>
        <v>-3.5126308773303379</v>
      </c>
      <c r="L36" s="33">
        <f t="shared" si="8"/>
        <v>0</v>
      </c>
      <c r="M36" s="28">
        <f t="shared" si="3"/>
        <v>23.766185113986467</v>
      </c>
      <c r="N36" s="29">
        <f t="shared" ref="N36" si="29">I35*O$4*(A36-A35+1)/360</f>
        <v>25</v>
      </c>
      <c r="O36" s="30">
        <f t="shared" si="4"/>
        <v>-1.2338148860135334</v>
      </c>
      <c r="P36" s="43">
        <v>0</v>
      </c>
      <c r="Q36" s="44">
        <f>M36/H34</f>
        <v>2.9512879992635503E-3</v>
      </c>
      <c r="R36" s="33"/>
      <c r="S36" s="2">
        <f>N35+N36-D36</f>
        <v>130.55555555555554</v>
      </c>
      <c r="T36" s="7">
        <f>O36+O35</f>
        <v>10.3360390648687</v>
      </c>
      <c r="U36" s="7">
        <f>M35+M36</f>
        <v>140.89159462042426</v>
      </c>
      <c r="V36" s="45" t="e">
        <f>N36-#REF!</f>
        <v>#REF!</v>
      </c>
      <c r="W36" s="7" t="e">
        <f>J36-#REF!</f>
        <v>#REF!</v>
      </c>
      <c r="X36" s="7"/>
      <c r="Z36" s="115">
        <v>41333</v>
      </c>
      <c r="AA36" s="128">
        <f t="shared" si="7"/>
        <v>0</v>
      </c>
      <c r="AB36" s="125"/>
      <c r="AC36" s="125"/>
      <c r="AD36" s="129"/>
      <c r="AE36" s="130">
        <f>(XNPV(AQ$6,AA36:AA$37,Z36:Z$37))</f>
        <v>42980.214535880928</v>
      </c>
      <c r="AF36" s="120">
        <f t="shared" si="12"/>
        <v>42980.214535880928</v>
      </c>
      <c r="AG36" s="131">
        <f>'8_1 imp'!AG36</f>
        <v>4000</v>
      </c>
      <c r="AH36" s="131">
        <f>'8_1 imp'!AH36</f>
        <v>36000</v>
      </c>
      <c r="AI36" s="125">
        <f>'8_1 imp'!AI36</f>
        <v>25</v>
      </c>
      <c r="AJ36" s="132">
        <f>'8_1 imp'!AJ36</f>
        <v>2274.9988888888888</v>
      </c>
      <c r="AK36" s="132">
        <f>'8_1 imp'!AK36</f>
        <v>3269.4444444444443</v>
      </c>
      <c r="AL36" s="132">
        <f>'8_1 imp'!AL36</f>
        <v>-3.5126308773303379</v>
      </c>
      <c r="AM36" s="133">
        <f t="shared" si="14"/>
        <v>-2585.7161665750746</v>
      </c>
      <c r="AN36" s="124"/>
      <c r="AO36" s="125"/>
      <c r="AP36" s="131"/>
      <c r="AQ36" s="126"/>
      <c r="AR36" s="152"/>
      <c r="AS36" s="134"/>
    </row>
    <row r="37" spans="1:45" ht="15.75" thickBot="1">
      <c r="A37" s="18">
        <v>41350</v>
      </c>
      <c r="B37" s="37">
        <f t="shared" si="5"/>
        <v>4069.4444444444443</v>
      </c>
      <c r="C37" s="29">
        <v>4000</v>
      </c>
      <c r="D37" s="29">
        <f>I35*O$4*(A37-A35)/360</f>
        <v>69.444444444444443</v>
      </c>
      <c r="E37" s="38"/>
      <c r="F37" s="39"/>
      <c r="G37" s="47"/>
      <c r="H37" s="24">
        <f>(XNPV($O$6,B37:$B$37,A37:$A$37)-B37)*((1+$O$6)^(1/365))</f>
        <v>0</v>
      </c>
      <c r="I37" s="41">
        <f t="shared" si="2"/>
        <v>0</v>
      </c>
      <c r="J37" s="29">
        <f t="shared" si="0"/>
        <v>0</v>
      </c>
      <c r="K37" s="42">
        <f t="shared" si="1"/>
        <v>-7.531752999057062E-13</v>
      </c>
      <c r="L37" s="33">
        <f t="shared" si="8"/>
        <v>0</v>
      </c>
      <c r="M37" s="28">
        <f t="shared" si="3"/>
        <v>47.957075321774028</v>
      </c>
      <c r="N37" s="29">
        <f t="shared" ref="N37" si="30">I36*O$4*(A37-A36-1)/360</f>
        <v>44.444444444444443</v>
      </c>
      <c r="O37" s="30">
        <f t="shared" si="4"/>
        <v>3.5126308773295847</v>
      </c>
      <c r="P37" s="43">
        <v>0</v>
      </c>
      <c r="Q37" s="44"/>
      <c r="R37" s="33"/>
      <c r="V37" s="45" t="e">
        <f>N37-#REF!</f>
        <v>#REF!</v>
      </c>
      <c r="W37" s="7" t="e">
        <f>J37-#REF!</f>
        <v>#REF!</v>
      </c>
      <c r="X37" s="7">
        <f>ROUND((O36+O37),2)</f>
        <v>2.2799999999999998</v>
      </c>
      <c r="Y37" s="46" t="s">
        <v>28</v>
      </c>
      <c r="Z37" s="115">
        <v>41350</v>
      </c>
      <c r="AA37" s="128">
        <f t="shared" si="7"/>
        <v>43524.999000000003</v>
      </c>
      <c r="AB37" s="125">
        <f>40000*0.9</f>
        <v>36000</v>
      </c>
      <c r="AC37" s="125">
        <f>(3694.44+4666.67)*0.9</f>
        <v>7524.9990000000007</v>
      </c>
      <c r="AD37" s="129"/>
      <c r="AE37" s="130">
        <f>(XNPV(AQ$6,AA37:AA$37,Z37:Z$37))</f>
        <v>43524.999000000003</v>
      </c>
      <c r="AF37" s="120">
        <f t="shared" si="12"/>
        <v>-7.531752999057062E-13</v>
      </c>
      <c r="AG37" s="131">
        <f>'8_1 imp'!AG37</f>
        <v>0</v>
      </c>
      <c r="AH37" s="131">
        <f>'8_1 imp'!AH37</f>
        <v>0</v>
      </c>
      <c r="AI37" s="125">
        <f>'8_1 imp'!AI37</f>
        <v>0</v>
      </c>
      <c r="AJ37" s="132">
        <f>'8_1 imp'!AJ37</f>
        <v>0</v>
      </c>
      <c r="AK37" s="132">
        <f>'8_1 imp'!AK37</f>
        <v>0</v>
      </c>
      <c r="AL37" s="132">
        <f>'8_1 imp'!AL37</f>
        <v>-7.531752999057062E-13</v>
      </c>
      <c r="AM37" s="133">
        <v>0</v>
      </c>
      <c r="AN37" s="124"/>
      <c r="AO37" s="125"/>
      <c r="AP37" s="131"/>
      <c r="AQ37" s="126"/>
      <c r="AR37" s="152"/>
      <c r="AS37" s="134"/>
    </row>
    <row r="38" spans="1:45" ht="16.5" thickTop="1" thickBot="1">
      <c r="A38" s="48" t="s">
        <v>29</v>
      </c>
      <c r="B38" s="49">
        <f>SUM(B15:B37)</f>
        <v>54716.666666666679</v>
      </c>
      <c r="C38" s="49">
        <f>SUM(C15:C37)</f>
        <v>48000</v>
      </c>
      <c r="D38" s="49">
        <f>SUM(D15:D37)</f>
        <v>6716.6666666666661</v>
      </c>
      <c r="E38" s="50" t="s">
        <v>30</v>
      </c>
      <c r="F38" s="51" t="s">
        <v>30</v>
      </c>
      <c r="G38" s="52"/>
      <c r="H38" s="53" t="s">
        <v>30</v>
      </c>
      <c r="I38" s="54" t="s">
        <v>30</v>
      </c>
      <c r="J38" s="55" t="s">
        <v>30</v>
      </c>
      <c r="K38" s="56" t="s">
        <v>30</v>
      </c>
      <c r="L38" s="54" t="s">
        <v>30</v>
      </c>
      <c r="M38" s="57">
        <f>SUM(M13:M37)</f>
        <v>7196.6666666666661</v>
      </c>
      <c r="N38" s="58">
        <f>SUM(N13:N37)</f>
        <v>6716.666666666667</v>
      </c>
      <c r="O38" s="59">
        <f>SUM(O13:O37)</f>
        <v>479.99999999999903</v>
      </c>
      <c r="P38" s="60">
        <f>SUM(P16:P37)</f>
        <v>0</v>
      </c>
      <c r="Q38" s="61" t="s">
        <v>24</v>
      </c>
      <c r="R38" s="33"/>
      <c r="S38" s="62">
        <f>SUM(S13:S37)</f>
        <v>6205.5555555555566</v>
      </c>
      <c r="X38" s="7"/>
      <c r="Z38" s="135" t="s">
        <v>29</v>
      </c>
      <c r="AA38" s="136">
        <f>SUM(AA15:AA37)</f>
        <v>43524.999000000003</v>
      </c>
      <c r="AB38" s="136">
        <f>SUM(AB15:AB37)</f>
        <v>36000</v>
      </c>
      <c r="AC38" s="136">
        <f>SUM(AC15:AC37)</f>
        <v>7524.9990000000007</v>
      </c>
      <c r="AD38" s="137" t="s">
        <v>30</v>
      </c>
      <c r="AE38" s="138" t="s">
        <v>30</v>
      </c>
      <c r="AF38" s="139" t="s">
        <v>30</v>
      </c>
      <c r="AG38" s="140" t="s">
        <v>30</v>
      </c>
      <c r="AH38" s="140"/>
      <c r="AI38" s="141" t="s">
        <v>30</v>
      </c>
      <c r="AJ38" s="142"/>
      <c r="AK38" s="142"/>
      <c r="AL38" s="142" t="s">
        <v>30</v>
      </c>
      <c r="AM38" s="140" t="s">
        <v>30</v>
      </c>
      <c r="AN38" s="143"/>
      <c r="AO38" s="144"/>
      <c r="AP38" s="144"/>
      <c r="AQ38" s="145"/>
      <c r="AR38" s="153"/>
      <c r="AS38" s="146"/>
    </row>
    <row r="39" spans="1:45">
      <c r="C39" s="7"/>
      <c r="D39" s="7"/>
      <c r="N39" s="63"/>
      <c r="O39" s="64"/>
      <c r="P39" s="65"/>
    </row>
    <row r="40" spans="1:45">
      <c r="N40" s="66"/>
      <c r="O40" s="66"/>
      <c r="P40" s="65"/>
      <c r="AE40" s="7"/>
      <c r="AM40" s="7"/>
    </row>
    <row r="41" spans="1:45">
      <c r="N41" s="66"/>
      <c r="O41" s="66"/>
      <c r="P41" s="65"/>
      <c r="AM41" s="7"/>
    </row>
    <row r="42" spans="1:45" ht="15.75" thickBot="1">
      <c r="N42" s="65"/>
      <c r="O42" s="65"/>
      <c r="P42" s="65"/>
      <c r="AM42" s="7"/>
    </row>
    <row r="43" spans="1:45" ht="15.75" thickBot="1">
      <c r="E43" s="67"/>
      <c r="G43" s="68" t="e">
        <f>#REF!-#REF!</f>
        <v>#REF!</v>
      </c>
      <c r="N43" s="65"/>
      <c r="O43" s="65"/>
      <c r="P43" s="65"/>
    </row>
    <row r="44" spans="1:45">
      <c r="G44" s="45" t="e">
        <f>ROUND(NPV(#REF!,#REF!),0)-ROUND(NPV(#REF!,#REF!),0)</f>
        <v>#REF!</v>
      </c>
    </row>
    <row r="45" spans="1:45">
      <c r="G45" s="45" t="e">
        <f>ROUND(NPV(#REF!,#REF!)-NPV(#REF!,#REF!),0)</f>
        <v>#REF!</v>
      </c>
    </row>
    <row r="46" spans="1:45">
      <c r="G46" s="45"/>
    </row>
  </sheetData>
  <mergeCells count="50">
    <mergeCell ref="AS11:AS12"/>
    <mergeCell ref="AR9:AR10"/>
    <mergeCell ref="AG11:AG12"/>
    <mergeCell ref="AH11:AH12"/>
    <mergeCell ref="AI11:AI12"/>
    <mergeCell ref="AJ11:AJ12"/>
    <mergeCell ref="AK11:AK12"/>
    <mergeCell ref="AL11:AL12"/>
    <mergeCell ref="AN9:AQ10"/>
    <mergeCell ref="AM11:AM12"/>
    <mergeCell ref="AO11:AO12"/>
    <mergeCell ref="AP11:AP12"/>
    <mergeCell ref="AQ11:AQ12"/>
    <mergeCell ref="AS9:AS10"/>
    <mergeCell ref="Q9:Q12"/>
    <mergeCell ref="X9:Y12"/>
    <mergeCell ref="P9:P10"/>
    <mergeCell ref="P11:P12"/>
    <mergeCell ref="C11:C12"/>
    <mergeCell ref="D11:D12"/>
    <mergeCell ref="E11:E12"/>
    <mergeCell ref="G11:G12"/>
    <mergeCell ref="H11:H12"/>
    <mergeCell ref="Z9:Z12"/>
    <mergeCell ref="AA9:AD10"/>
    <mergeCell ref="AE9:AE12"/>
    <mergeCell ref="AF9:AM10"/>
    <mergeCell ref="AB11:AB12"/>
    <mergeCell ref="AC11:AC12"/>
    <mergeCell ref="AD11:AD12"/>
    <mergeCell ref="AF11:AF12"/>
    <mergeCell ref="A9:A12"/>
    <mergeCell ref="B9:E10"/>
    <mergeCell ref="F9:F12"/>
    <mergeCell ref="H9:L10"/>
    <mergeCell ref="M9:O10"/>
    <mergeCell ref="L11:L12"/>
    <mergeCell ref="N11:N12"/>
    <mergeCell ref="O11:O12"/>
    <mergeCell ref="I11:I12"/>
    <mergeCell ref="J11:J12"/>
    <mergeCell ref="K11:K12"/>
    <mergeCell ref="A1:O1"/>
    <mergeCell ref="Z1:AQ1"/>
    <mergeCell ref="B2:D2"/>
    <mergeCell ref="H2:L2"/>
    <mergeCell ref="N2:P2"/>
    <mergeCell ref="AA2:AC2"/>
    <mergeCell ref="AF2:AM2"/>
    <mergeCell ref="AO2:AS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R48"/>
  <sheetViews>
    <sheetView workbookViewId="0">
      <pane xSplit="1" ySplit="12" topLeftCell="B13" activePane="bottomRight" state="frozen"/>
      <selection activeCell="E26" sqref="E26"/>
      <selection pane="topRight" activeCell="E26" sqref="E26"/>
      <selection pane="bottomLeft" activeCell="E26" sqref="E26"/>
      <selection pane="bottomRight" activeCell="E26" sqref="E26"/>
    </sheetView>
  </sheetViews>
  <sheetFormatPr defaultRowHeight="15"/>
  <cols>
    <col min="1" max="2" width="21.28515625" customWidth="1"/>
    <col min="3" max="3" width="14.7109375" customWidth="1"/>
    <col min="4" max="4" width="13.140625" customWidth="1"/>
    <col min="5" max="5" width="10" customWidth="1"/>
    <col min="6" max="6" width="9.42578125" hidden="1" customWidth="1"/>
    <col min="7" max="7" width="13.85546875" hidden="1" customWidth="1"/>
    <col min="8" max="8" width="26.85546875" customWidth="1"/>
    <col min="9" max="9" width="12.7109375" customWidth="1"/>
    <col min="10" max="10" width="13.42578125" customWidth="1"/>
    <col min="11" max="11" width="12.7109375" customWidth="1"/>
    <col min="12" max="12" width="9.28515625" hidden="1" customWidth="1"/>
    <col min="13" max="13" width="12.28515625" customWidth="1"/>
    <col min="14" max="14" width="15.42578125" customWidth="1"/>
    <col min="15" max="15" width="14.140625" customWidth="1"/>
    <col min="16" max="16" width="11.42578125" customWidth="1"/>
    <col min="17" max="17" width="11.28515625" hidden="1" customWidth="1"/>
    <col min="18" max="18" width="0.7109375" hidden="1" customWidth="1"/>
    <col min="19" max="19" width="12.140625" style="2" hidden="1" customWidth="1"/>
    <col min="20" max="21" width="9.140625" hidden="1" customWidth="1"/>
    <col min="22" max="22" width="11.28515625" hidden="1" customWidth="1"/>
    <col min="23" max="24" width="9.140625" hidden="1" customWidth="1"/>
    <col min="25" max="25" width="49.28515625" hidden="1" customWidth="1"/>
    <col min="26" max="26" width="11.28515625" hidden="1" customWidth="1"/>
    <col min="27" max="28" width="9.85546875" hidden="1" customWidth="1"/>
    <col min="29" max="33" width="9.140625" hidden="1" customWidth="1"/>
    <col min="34" max="34" width="10" hidden="1" customWidth="1"/>
    <col min="35" max="36" width="13.42578125" hidden="1" customWidth="1"/>
    <col min="37" max="37" width="15.28515625" hidden="1" customWidth="1"/>
    <col min="38" max="38" width="12.28515625" hidden="1" customWidth="1"/>
    <col min="39" max="39" width="9.85546875" hidden="1" customWidth="1"/>
    <col min="40" max="40" width="9.140625" hidden="1" customWidth="1"/>
    <col min="41" max="41" width="17.7109375" hidden="1" customWidth="1"/>
    <col min="42" max="42" width="15.140625" hidden="1" customWidth="1"/>
    <col min="43" max="43" width="9.140625" hidden="1" customWidth="1"/>
    <col min="44" max="44" width="9.85546875" hidden="1" customWidth="1"/>
  </cols>
  <sheetData>
    <row r="1" spans="1:44">
      <c r="A1" s="242" t="s">
        <v>31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Z1" s="242" t="s">
        <v>32</v>
      </c>
      <c r="AA1" s="242"/>
      <c r="AB1" s="242"/>
      <c r="AC1" s="242"/>
      <c r="AD1" s="242"/>
      <c r="AE1" s="242"/>
      <c r="AF1" s="242"/>
      <c r="AG1" s="242"/>
      <c r="AH1" s="242"/>
      <c r="AI1" s="242"/>
      <c r="AJ1" s="242"/>
      <c r="AK1" s="242"/>
      <c r="AL1" s="242"/>
      <c r="AM1" s="242"/>
      <c r="AN1" s="242"/>
      <c r="AO1" s="242"/>
      <c r="AP1" s="242"/>
      <c r="AQ1" s="242"/>
    </row>
    <row r="2" spans="1:44">
      <c r="B2" s="199"/>
      <c r="C2" s="199"/>
      <c r="D2" s="199"/>
      <c r="H2" s="199"/>
      <c r="I2" s="199"/>
      <c r="J2" s="199"/>
      <c r="K2" s="199"/>
      <c r="L2" s="199"/>
      <c r="N2" s="199" t="s">
        <v>0</v>
      </c>
      <c r="O2" s="199"/>
      <c r="P2" s="199"/>
      <c r="Q2" s="1"/>
      <c r="AA2" s="199"/>
      <c r="AB2" s="199"/>
      <c r="AC2" s="199"/>
      <c r="AF2" s="199"/>
      <c r="AG2" s="199"/>
      <c r="AH2" s="199"/>
      <c r="AI2" s="199"/>
      <c r="AJ2" s="199"/>
      <c r="AK2" s="199"/>
      <c r="AL2" s="199"/>
      <c r="AM2" s="199"/>
      <c r="AO2" s="199" t="s">
        <v>0</v>
      </c>
      <c r="AP2" s="199"/>
      <c r="AQ2" s="199"/>
      <c r="AR2" s="199"/>
    </row>
    <row r="3" spans="1:44">
      <c r="J3">
        <f>266.67+0.89</f>
        <v>267.56</v>
      </c>
    </row>
    <row r="4" spans="1:44">
      <c r="B4" s="3"/>
      <c r="J4">
        <f>32000+267.56-29585.56</f>
        <v>2682</v>
      </c>
      <c r="N4" s="3" t="s">
        <v>1</v>
      </c>
      <c r="O4" s="4">
        <v>0.01</v>
      </c>
      <c r="AA4" s="3"/>
      <c r="AO4" s="3" t="s">
        <v>1</v>
      </c>
      <c r="AP4" s="3"/>
      <c r="AQ4" s="4">
        <v>0.25</v>
      </c>
    </row>
    <row r="5" spans="1:44">
      <c r="B5" s="3"/>
      <c r="J5">
        <f>207.33+2495.59</f>
        <v>2702.92</v>
      </c>
      <c r="AA5" s="3"/>
    </row>
    <row r="6" spans="1:44">
      <c r="B6" s="3"/>
      <c r="J6">
        <f>J5-2704.81</f>
        <v>-1.8899999999998727</v>
      </c>
      <c r="N6" s="3" t="s">
        <v>2</v>
      </c>
      <c r="O6" s="4" t="e">
        <f>#REF!</f>
        <v>#REF!</v>
      </c>
      <c r="S6" s="5"/>
      <c r="T6" s="6"/>
      <c r="AA6" s="3"/>
      <c r="AO6" s="3" t="s">
        <v>2</v>
      </c>
      <c r="AP6" s="3"/>
      <c r="AQ6" s="4" t="e">
        <f>O6</f>
        <v>#REF!</v>
      </c>
    </row>
    <row r="7" spans="1:44">
      <c r="A7" s="182"/>
      <c r="B7" s="183"/>
      <c r="C7" s="7"/>
      <c r="D7" s="7"/>
      <c r="E7" s="7"/>
      <c r="K7" s="7"/>
      <c r="M7" s="7"/>
      <c r="AA7" s="3"/>
    </row>
    <row r="8" spans="1:44" ht="15.75" thickBot="1">
      <c r="B8" s="7"/>
      <c r="C8" s="7"/>
      <c r="D8" s="7"/>
      <c r="H8" s="7"/>
      <c r="I8" s="7"/>
      <c r="AB8" s="7"/>
      <c r="AC8" s="7"/>
      <c r="AF8" s="7"/>
      <c r="AG8" s="7"/>
      <c r="AH8" s="7"/>
    </row>
    <row r="9" spans="1:44" ht="15.75" thickTop="1">
      <c r="A9" s="200" t="s">
        <v>3</v>
      </c>
      <c r="B9" s="203" t="s">
        <v>4</v>
      </c>
      <c r="C9" s="204"/>
      <c r="D9" s="204"/>
      <c r="E9" s="205"/>
      <c r="F9" s="209" t="s">
        <v>5</v>
      </c>
      <c r="G9" s="181"/>
      <c r="H9" s="212" t="s">
        <v>6</v>
      </c>
      <c r="I9" s="213"/>
      <c r="J9" s="213"/>
      <c r="K9" s="213"/>
      <c r="L9" s="214"/>
      <c r="M9" s="218" t="s">
        <v>7</v>
      </c>
      <c r="N9" s="219"/>
      <c r="O9" s="220"/>
      <c r="P9" s="288" t="s">
        <v>8</v>
      </c>
      <c r="Q9" s="232" t="s">
        <v>9</v>
      </c>
      <c r="R9" s="9"/>
      <c r="X9" s="282" t="s">
        <v>10</v>
      </c>
      <c r="Y9" s="283"/>
      <c r="Z9" s="243" t="s">
        <v>3</v>
      </c>
      <c r="AA9" s="246" t="s">
        <v>4</v>
      </c>
      <c r="AB9" s="247"/>
      <c r="AC9" s="247"/>
      <c r="AD9" s="248"/>
      <c r="AE9" s="252" t="s">
        <v>5</v>
      </c>
      <c r="AF9" s="255" t="s">
        <v>42</v>
      </c>
      <c r="AG9" s="256"/>
      <c r="AH9" s="256"/>
      <c r="AI9" s="256"/>
      <c r="AJ9" s="256"/>
      <c r="AK9" s="256"/>
      <c r="AL9" s="256"/>
      <c r="AM9" s="257"/>
      <c r="AN9" s="271" t="s">
        <v>7</v>
      </c>
      <c r="AO9" s="272"/>
      <c r="AP9" s="272"/>
      <c r="AQ9" s="273"/>
      <c r="AR9" s="281" t="s">
        <v>41</v>
      </c>
    </row>
    <row r="10" spans="1:44">
      <c r="A10" s="201"/>
      <c r="B10" s="206"/>
      <c r="C10" s="207"/>
      <c r="D10" s="207"/>
      <c r="E10" s="208"/>
      <c r="F10" s="210"/>
      <c r="G10" s="180"/>
      <c r="H10" s="215"/>
      <c r="I10" s="216"/>
      <c r="J10" s="216"/>
      <c r="K10" s="216"/>
      <c r="L10" s="217"/>
      <c r="M10" s="221"/>
      <c r="N10" s="222"/>
      <c r="O10" s="223"/>
      <c r="P10" s="289"/>
      <c r="Q10" s="233"/>
      <c r="R10" s="9"/>
      <c r="S10" s="11"/>
      <c r="X10" s="284"/>
      <c r="Y10" s="285"/>
      <c r="Z10" s="244"/>
      <c r="AA10" s="249"/>
      <c r="AB10" s="250"/>
      <c r="AC10" s="250"/>
      <c r="AD10" s="251"/>
      <c r="AE10" s="253"/>
      <c r="AF10" s="258"/>
      <c r="AG10" s="259"/>
      <c r="AH10" s="259"/>
      <c r="AI10" s="259"/>
      <c r="AJ10" s="259"/>
      <c r="AK10" s="259"/>
      <c r="AL10" s="259"/>
      <c r="AM10" s="260"/>
      <c r="AN10" s="274"/>
      <c r="AO10" s="275"/>
      <c r="AP10" s="275"/>
      <c r="AQ10" s="276"/>
      <c r="AR10" s="270"/>
    </row>
    <row r="11" spans="1:44" ht="15" customHeight="1">
      <c r="A11" s="201"/>
      <c r="B11" s="12"/>
      <c r="C11" s="228" t="s">
        <v>11</v>
      </c>
      <c r="D11" s="228" t="s">
        <v>12</v>
      </c>
      <c r="E11" s="230" t="s">
        <v>13</v>
      </c>
      <c r="F11" s="210"/>
      <c r="G11" s="210" t="s">
        <v>5</v>
      </c>
      <c r="H11" s="236" t="s">
        <v>45</v>
      </c>
      <c r="I11" s="228" t="s">
        <v>11</v>
      </c>
      <c r="J11" s="228" t="s">
        <v>15</v>
      </c>
      <c r="K11" s="228" t="s">
        <v>16</v>
      </c>
      <c r="L11" s="226" t="s">
        <v>17</v>
      </c>
      <c r="M11" s="13"/>
      <c r="N11" s="228" t="s">
        <v>18</v>
      </c>
      <c r="O11" s="238" t="s">
        <v>19</v>
      </c>
      <c r="P11" s="290" t="s">
        <v>20</v>
      </c>
      <c r="Q11" s="233"/>
      <c r="R11" s="9"/>
      <c r="S11" s="14"/>
      <c r="X11" s="284"/>
      <c r="Y11" s="285"/>
      <c r="Z11" s="244"/>
      <c r="AA11" s="111"/>
      <c r="AB11" s="261" t="s">
        <v>11</v>
      </c>
      <c r="AC11" s="261" t="s">
        <v>12</v>
      </c>
      <c r="AD11" s="263" t="s">
        <v>13</v>
      </c>
      <c r="AE11" s="253"/>
      <c r="AF11" s="265" t="s">
        <v>14</v>
      </c>
      <c r="AG11" s="261" t="s">
        <v>33</v>
      </c>
      <c r="AH11" s="261" t="s">
        <v>34</v>
      </c>
      <c r="AI11" s="261" t="s">
        <v>39</v>
      </c>
      <c r="AJ11" s="261" t="s">
        <v>40</v>
      </c>
      <c r="AK11" s="261" t="s">
        <v>35</v>
      </c>
      <c r="AL11" s="261" t="s">
        <v>16</v>
      </c>
      <c r="AM11" s="277" t="s">
        <v>36</v>
      </c>
      <c r="AN11" s="112"/>
      <c r="AO11" s="261" t="s">
        <v>37</v>
      </c>
      <c r="AP11" s="261" t="s">
        <v>38</v>
      </c>
      <c r="AQ11" s="279" t="s">
        <v>19</v>
      </c>
      <c r="AR11" s="267" t="s">
        <v>36</v>
      </c>
    </row>
    <row r="12" spans="1:44" ht="45.75" thickBot="1">
      <c r="A12" s="202"/>
      <c r="B12" s="15" t="s">
        <v>14</v>
      </c>
      <c r="C12" s="229"/>
      <c r="D12" s="229"/>
      <c r="E12" s="231"/>
      <c r="F12" s="211"/>
      <c r="G12" s="211"/>
      <c r="H12" s="237"/>
      <c r="I12" s="229"/>
      <c r="J12" s="229"/>
      <c r="K12" s="229"/>
      <c r="L12" s="227"/>
      <c r="M12" s="16" t="s">
        <v>21</v>
      </c>
      <c r="N12" s="229"/>
      <c r="O12" s="239"/>
      <c r="P12" s="291"/>
      <c r="Q12" s="234"/>
      <c r="R12" s="17"/>
      <c r="V12" t="s">
        <v>22</v>
      </c>
      <c r="W12" t="s">
        <v>23</v>
      </c>
      <c r="X12" s="286"/>
      <c r="Y12" s="287"/>
      <c r="Z12" s="245"/>
      <c r="AA12" s="113" t="s">
        <v>14</v>
      </c>
      <c r="AB12" s="262"/>
      <c r="AC12" s="262"/>
      <c r="AD12" s="264"/>
      <c r="AE12" s="254"/>
      <c r="AF12" s="266"/>
      <c r="AG12" s="262"/>
      <c r="AH12" s="262"/>
      <c r="AI12" s="262"/>
      <c r="AJ12" s="262"/>
      <c r="AK12" s="262"/>
      <c r="AL12" s="262"/>
      <c r="AM12" s="278"/>
      <c r="AN12" s="114" t="s">
        <v>14</v>
      </c>
      <c r="AO12" s="262"/>
      <c r="AP12" s="262"/>
      <c r="AQ12" s="280"/>
      <c r="AR12" s="268"/>
    </row>
    <row r="13" spans="1:44" ht="16.5" thickTop="1" thickBot="1">
      <c r="A13" s="69"/>
      <c r="B13" s="70"/>
      <c r="C13" s="71"/>
      <c r="D13" s="71"/>
      <c r="E13" s="72"/>
      <c r="F13" s="73"/>
      <c r="G13" s="74"/>
      <c r="H13" s="75"/>
      <c r="I13" s="76"/>
      <c r="J13" s="71"/>
      <c r="K13" s="77"/>
      <c r="L13" s="78"/>
      <c r="M13" s="79"/>
      <c r="N13" s="80"/>
      <c r="O13" s="81"/>
      <c r="P13" s="31" t="s">
        <v>24</v>
      </c>
      <c r="Q13" s="32" t="s">
        <v>24</v>
      </c>
      <c r="R13" s="33"/>
      <c r="S13" s="2">
        <f>N12+N13-D13</f>
        <v>0</v>
      </c>
      <c r="U13" s="34"/>
      <c r="X13" s="35" t="s">
        <v>25</v>
      </c>
      <c r="Y13" s="36" t="s">
        <v>26</v>
      </c>
      <c r="Z13" s="157">
        <f>'[2]7 imp'!Z13</f>
        <v>40985</v>
      </c>
      <c r="AA13" s="158">
        <f>'[2]7 imp'!AA13</f>
        <v>0</v>
      </c>
      <c r="AB13" s="159">
        <f>'[2]7 imp'!AB13</f>
        <v>0</v>
      </c>
      <c r="AC13" s="159">
        <f>'[2]7 imp'!AC13</f>
        <v>0</v>
      </c>
      <c r="AD13" s="160">
        <f>'[2]7 imp'!AD13</f>
        <v>0</v>
      </c>
      <c r="AE13" s="161">
        <f>'[2]7 imp'!AE13</f>
        <v>0</v>
      </c>
      <c r="AF13" s="162">
        <f>'[2]7 imp'!AF13</f>
        <v>0</v>
      </c>
      <c r="AG13" s="163">
        <f>'[2]7 imp'!AG13</f>
        <v>0</v>
      </c>
      <c r="AH13" s="163">
        <f>'[2]7 imp'!AH13</f>
        <v>0</v>
      </c>
      <c r="AI13" s="159">
        <f>'[2]7 imp'!AI13</f>
        <v>0</v>
      </c>
      <c r="AJ13" s="164">
        <f>'[2]7 imp'!AJ13</f>
        <v>0</v>
      </c>
      <c r="AK13" s="164">
        <f>'[2]7 imp'!AK13</f>
        <v>0</v>
      </c>
      <c r="AL13" s="164">
        <f>'[2]7 imp'!AL13</f>
        <v>0</v>
      </c>
      <c r="AM13" s="165">
        <f>'[2]7 imp'!AM13</f>
        <v>0</v>
      </c>
      <c r="AN13" s="155">
        <f>'[2]7 imp'!AN13</f>
        <v>0</v>
      </c>
      <c r="AO13" s="156">
        <f>'[2]7 imp'!AO13</f>
        <v>0</v>
      </c>
      <c r="AP13" s="166">
        <f>'[2]7 imp'!AP13</f>
        <v>0</v>
      </c>
      <c r="AQ13" s="167">
        <f>'[2]7 imp'!AQ13</f>
        <v>0</v>
      </c>
      <c r="AR13" s="168" t="str">
        <f>'[2]7 imp'!AR13</f>
        <v>х</v>
      </c>
    </row>
    <row r="14" spans="1:44" ht="16.5" thickTop="1" thickBot="1">
      <c r="A14" s="69"/>
      <c r="B14" s="82"/>
      <c r="C14" s="80"/>
      <c r="D14" s="80"/>
      <c r="E14" s="83"/>
      <c r="F14" s="84"/>
      <c r="G14" s="85"/>
      <c r="H14" s="75"/>
      <c r="I14" s="86"/>
      <c r="J14" s="80"/>
      <c r="K14" s="87"/>
      <c r="L14" s="88"/>
      <c r="M14" s="79"/>
      <c r="N14" s="80"/>
      <c r="O14" s="81"/>
      <c r="P14" s="43">
        <v>0</v>
      </c>
      <c r="Q14" s="44"/>
      <c r="R14" s="33"/>
      <c r="T14" s="7">
        <f>O14</f>
        <v>0</v>
      </c>
      <c r="U14" s="7">
        <f>M14</f>
        <v>0</v>
      </c>
      <c r="V14" s="45" t="e">
        <f>N14+N12-#REF!</f>
        <v>#REF!</v>
      </c>
      <c r="W14" s="7" t="e">
        <f>J14-#REF!</f>
        <v>#REF!</v>
      </c>
      <c r="X14" s="7">
        <f>ROUND((O12+O14),2)</f>
        <v>0</v>
      </c>
      <c r="Y14" s="46" t="s">
        <v>27</v>
      </c>
      <c r="Z14" s="157">
        <f>'[2]7 imp'!Z14</f>
        <v>40999</v>
      </c>
      <c r="AA14" s="169">
        <f>'[2]7 imp'!AA14</f>
        <v>0</v>
      </c>
      <c r="AB14" s="156">
        <f>'[2]7 imp'!AB14</f>
        <v>0</v>
      </c>
      <c r="AC14" s="156">
        <f>'[2]7 imp'!AC14</f>
        <v>0</v>
      </c>
      <c r="AD14" s="170">
        <f>'[2]7 imp'!AD14</f>
        <v>0</v>
      </c>
      <c r="AE14" s="171">
        <f>'[2]7 imp'!AE14</f>
        <v>0</v>
      </c>
      <c r="AF14" s="162">
        <f>'[2]7 imp'!AF14</f>
        <v>0</v>
      </c>
      <c r="AG14" s="166">
        <f>'[2]7 imp'!AG14</f>
        <v>0</v>
      </c>
      <c r="AH14" s="166">
        <f>'[2]7 imp'!AH14</f>
        <v>0</v>
      </c>
      <c r="AI14" s="156">
        <f>'[2]7 imp'!AI14</f>
        <v>0</v>
      </c>
      <c r="AJ14" s="172">
        <f>'[2]7 imp'!AJ14</f>
        <v>0</v>
      </c>
      <c r="AK14" s="172">
        <f>'[2]7 imp'!AK14</f>
        <v>0</v>
      </c>
      <c r="AL14" s="172">
        <f>'[2]7 imp'!AL14</f>
        <v>0</v>
      </c>
      <c r="AM14" s="173">
        <f>'[2]7 imp'!AM14</f>
        <v>0</v>
      </c>
      <c r="AN14" s="155">
        <f>'[2]7 imp'!AN14</f>
        <v>0</v>
      </c>
      <c r="AO14" s="156">
        <f>'[2]7 imp'!AO14</f>
        <v>0</v>
      </c>
      <c r="AP14" s="166">
        <f>'[2]7 imp'!AP14</f>
        <v>0</v>
      </c>
      <c r="AQ14" s="167">
        <f>'[2]7 imp'!AQ14</f>
        <v>0</v>
      </c>
      <c r="AR14" s="174">
        <f>'[2]7 imp'!AR14</f>
        <v>0</v>
      </c>
    </row>
    <row r="15" spans="1:44" ht="16.5" thickTop="1" thickBot="1">
      <c r="A15" s="69"/>
      <c r="B15" s="82"/>
      <c r="C15" s="80"/>
      <c r="D15" s="80"/>
      <c r="E15" s="83"/>
      <c r="F15" s="84"/>
      <c r="G15" s="85"/>
      <c r="H15" s="75"/>
      <c r="I15" s="86"/>
      <c r="J15" s="80"/>
      <c r="K15" s="87"/>
      <c r="L15" s="88"/>
      <c r="M15" s="79"/>
      <c r="N15" s="80"/>
      <c r="O15" s="81"/>
      <c r="P15" s="43">
        <v>0</v>
      </c>
      <c r="Q15" s="44"/>
      <c r="R15" s="33"/>
      <c r="T15" s="7">
        <f>O15</f>
        <v>0</v>
      </c>
      <c r="U15" s="7">
        <f>M15</f>
        <v>0</v>
      </c>
      <c r="V15" s="45" t="e">
        <f>N15+N13-#REF!</f>
        <v>#REF!</v>
      </c>
      <c r="W15" s="7" t="e">
        <f>J15-#REF!</f>
        <v>#REF!</v>
      </c>
      <c r="X15" s="7">
        <f>ROUND((O13+O15),2)</f>
        <v>0</v>
      </c>
      <c r="Y15" s="46" t="s">
        <v>27</v>
      </c>
      <c r="Z15" s="157">
        <f>'[2]7 imp'!Z15</f>
        <v>41019</v>
      </c>
      <c r="AA15" s="169">
        <f>'[2]7 imp'!AA15</f>
        <v>0</v>
      </c>
      <c r="AB15" s="156">
        <f>'[2]7 imp'!AB15</f>
        <v>0</v>
      </c>
      <c r="AC15" s="156">
        <f>'[2]7 imp'!AC15</f>
        <v>0</v>
      </c>
      <c r="AD15" s="170">
        <f>'[2]7 imp'!AD15</f>
        <v>0</v>
      </c>
      <c r="AE15" s="171">
        <f>'[2]7 imp'!AE15</f>
        <v>0</v>
      </c>
      <c r="AF15" s="162">
        <f>'[2]7 imp'!AF15</f>
        <v>0</v>
      </c>
      <c r="AG15" s="166">
        <f>'[2]7 imp'!AG15</f>
        <v>0</v>
      </c>
      <c r="AH15" s="166">
        <f>'[2]7 imp'!AH15</f>
        <v>0</v>
      </c>
      <c r="AI15" s="156">
        <f>'[2]7 imp'!AI15</f>
        <v>0</v>
      </c>
      <c r="AJ15" s="172">
        <f>'[2]7 imp'!AJ15</f>
        <v>0</v>
      </c>
      <c r="AK15" s="172">
        <f>'[2]7 imp'!AK15</f>
        <v>0</v>
      </c>
      <c r="AL15" s="172">
        <f>'[2]7 imp'!AL15</f>
        <v>0</v>
      </c>
      <c r="AM15" s="173">
        <f>'[2]7 imp'!AM15</f>
        <v>0</v>
      </c>
      <c r="AN15" s="155">
        <f>'[2]7 imp'!AN15</f>
        <v>0</v>
      </c>
      <c r="AO15" s="156">
        <f>'[2]7 imp'!AO15</f>
        <v>0</v>
      </c>
      <c r="AP15" s="166">
        <f>'[2]7 imp'!AP15</f>
        <v>0</v>
      </c>
      <c r="AQ15" s="167">
        <f>'[2]7 imp'!AQ15</f>
        <v>0</v>
      </c>
      <c r="AR15" s="174">
        <f>'[2]7 imp'!AR15</f>
        <v>0</v>
      </c>
    </row>
    <row r="16" spans="1:44" ht="15.75" thickTop="1">
      <c r="A16" s="69"/>
      <c r="B16" s="82"/>
      <c r="C16" s="80"/>
      <c r="D16" s="80"/>
      <c r="E16" s="83"/>
      <c r="F16" s="84"/>
      <c r="G16" s="85"/>
      <c r="H16" s="75"/>
      <c r="I16" s="86"/>
      <c r="J16" s="80"/>
      <c r="K16" s="87"/>
      <c r="L16" s="88"/>
      <c r="M16" s="79"/>
      <c r="N16" s="80"/>
      <c r="O16" s="81"/>
      <c r="P16" s="43">
        <v>0</v>
      </c>
      <c r="Q16" s="44" t="e">
        <f>M16/H13</f>
        <v>#DIV/0!</v>
      </c>
      <c r="R16" s="33"/>
      <c r="S16" s="2">
        <f>N15+N16-D16</f>
        <v>0</v>
      </c>
      <c r="T16" s="7">
        <f>O16</f>
        <v>0</v>
      </c>
      <c r="U16" s="7">
        <f>M16</f>
        <v>0</v>
      </c>
      <c r="V16" s="45" t="e">
        <f>N16-#REF!</f>
        <v>#REF!</v>
      </c>
      <c r="W16" s="7" t="e">
        <f>J16-#REF!</f>
        <v>#REF!</v>
      </c>
      <c r="X16" s="7"/>
      <c r="Z16" s="157">
        <f>'[2]7 imp'!Z16</f>
        <v>41029</v>
      </c>
      <c r="AA16" s="169">
        <f>'[2]7 imp'!AA16</f>
        <v>0</v>
      </c>
      <c r="AB16" s="156">
        <f>'[2]7 imp'!AB16</f>
        <v>0</v>
      </c>
      <c r="AC16" s="156">
        <f>'[2]7 imp'!AC16</f>
        <v>0</v>
      </c>
      <c r="AD16" s="170">
        <f>'[2]7 imp'!AD16</f>
        <v>0</v>
      </c>
      <c r="AE16" s="171">
        <f>'[2]7 imp'!AE16</f>
        <v>0</v>
      </c>
      <c r="AF16" s="162">
        <f>'[2]7 imp'!AF16</f>
        <v>0</v>
      </c>
      <c r="AG16" s="166">
        <f>'[2]7 imp'!AG16</f>
        <v>0</v>
      </c>
      <c r="AH16" s="166">
        <f>'[2]7 imp'!AH16</f>
        <v>0</v>
      </c>
      <c r="AI16" s="156">
        <f>'[2]7 imp'!AI16</f>
        <v>0</v>
      </c>
      <c r="AJ16" s="172">
        <f>'[2]7 imp'!AJ16</f>
        <v>0</v>
      </c>
      <c r="AK16" s="172">
        <f>'[2]7 imp'!AK16</f>
        <v>0</v>
      </c>
      <c r="AL16" s="172">
        <f>'[2]7 imp'!AL16</f>
        <v>0</v>
      </c>
      <c r="AM16" s="173">
        <f>'[2]7 imp'!AM16</f>
        <v>0</v>
      </c>
      <c r="AN16" s="155">
        <f>'[2]7 imp'!AN16</f>
        <v>0</v>
      </c>
      <c r="AO16" s="156">
        <f>'[2]7 imp'!AO16</f>
        <v>0</v>
      </c>
      <c r="AP16" s="166">
        <f>'[2]7 imp'!AP16</f>
        <v>0</v>
      </c>
      <c r="AQ16" s="167">
        <f>'[2]7 imp'!AQ16</f>
        <v>0</v>
      </c>
      <c r="AR16" s="174">
        <f>'[2]7 imp'!AR16</f>
        <v>0</v>
      </c>
    </row>
    <row r="17" spans="1:44">
      <c r="A17" s="90"/>
      <c r="B17" s="82"/>
      <c r="C17" s="80"/>
      <c r="D17" s="80"/>
      <c r="E17" s="83"/>
      <c r="F17" s="84"/>
      <c r="G17" s="89"/>
      <c r="H17" s="75"/>
      <c r="I17" s="86"/>
      <c r="J17" s="80"/>
      <c r="K17" s="87"/>
      <c r="L17" s="88"/>
      <c r="M17" s="79"/>
      <c r="N17" s="80"/>
      <c r="O17" s="81"/>
      <c r="P17" s="43">
        <v>0</v>
      </c>
      <c r="Q17" s="44"/>
      <c r="R17" s="33"/>
      <c r="V17" s="45" t="e">
        <f>N17-#REF!</f>
        <v>#REF!</v>
      </c>
      <c r="W17" s="7" t="e">
        <f>J17-#REF!</f>
        <v>#REF!</v>
      </c>
      <c r="X17" s="7">
        <f>ROUND((O16+O17),2)</f>
        <v>0</v>
      </c>
      <c r="Y17" s="46" t="s">
        <v>28</v>
      </c>
      <c r="Z17" s="157">
        <f>'[2]7 imp'!Z17</f>
        <v>41049</v>
      </c>
      <c r="AA17" s="169">
        <f>'[2]7 imp'!AA17</f>
        <v>0</v>
      </c>
      <c r="AB17" s="156">
        <f>'[2]7 imp'!AB17</f>
        <v>0</v>
      </c>
      <c r="AC17" s="156">
        <f>'[2]7 imp'!AC17</f>
        <v>0</v>
      </c>
      <c r="AD17" s="170">
        <f>'[2]7 imp'!AD17</f>
        <v>0</v>
      </c>
      <c r="AE17" s="171">
        <f>'[2]7 imp'!AE17</f>
        <v>0</v>
      </c>
      <c r="AF17" s="162">
        <f>'[2]7 imp'!AF17</f>
        <v>0</v>
      </c>
      <c r="AG17" s="166">
        <f>'[2]7 imp'!AG17</f>
        <v>0</v>
      </c>
      <c r="AH17" s="166">
        <f>'[2]7 imp'!AH17</f>
        <v>0</v>
      </c>
      <c r="AI17" s="156">
        <f>'[2]7 imp'!AI17</f>
        <v>0</v>
      </c>
      <c r="AJ17" s="172">
        <f>'[2]7 imp'!AJ17</f>
        <v>0</v>
      </c>
      <c r="AK17" s="172">
        <f>'[2]7 imp'!AK17</f>
        <v>0</v>
      </c>
      <c r="AL17" s="172">
        <f>'[2]7 imp'!AL17</f>
        <v>0</v>
      </c>
      <c r="AM17" s="173">
        <f>'[2]7 imp'!AM17</f>
        <v>0</v>
      </c>
      <c r="AN17" s="155">
        <f>'[2]7 imp'!AN17</f>
        <v>0</v>
      </c>
      <c r="AO17" s="156">
        <f>'[2]7 imp'!AO17</f>
        <v>0</v>
      </c>
      <c r="AP17" s="166">
        <f>'[2]7 imp'!AP17</f>
        <v>0</v>
      </c>
      <c r="AQ17" s="167">
        <f>'[2]7 imp'!AQ17</f>
        <v>0</v>
      </c>
      <c r="AR17" s="174">
        <f>'[2]7 imp'!AR17</f>
        <v>0</v>
      </c>
    </row>
    <row r="18" spans="1:44">
      <c r="A18" s="18"/>
      <c r="B18" s="82"/>
      <c r="C18" s="80"/>
      <c r="D18" s="80"/>
      <c r="E18" s="83"/>
      <c r="F18" s="84"/>
      <c r="G18" s="89"/>
      <c r="H18" s="75"/>
      <c r="I18" s="86"/>
      <c r="J18" s="80"/>
      <c r="K18" s="87"/>
      <c r="L18" s="88"/>
      <c r="M18" s="79"/>
      <c r="N18" s="80"/>
      <c r="O18" s="81"/>
      <c r="P18" s="43"/>
      <c r="Q18" s="44"/>
      <c r="R18" s="33"/>
      <c r="V18" s="45"/>
      <c r="W18" s="7"/>
      <c r="X18" s="7"/>
      <c r="Y18" s="46"/>
      <c r="Z18" s="157">
        <f>'[2]7 imp'!Z18</f>
        <v>41060</v>
      </c>
      <c r="AA18" s="169">
        <f>'[2]7 imp'!AA18</f>
        <v>0</v>
      </c>
      <c r="AB18" s="156">
        <f>'[2]7 imp'!AB18</f>
        <v>0</v>
      </c>
      <c r="AC18" s="156">
        <f>'[2]7 imp'!AC18</f>
        <v>0</v>
      </c>
      <c r="AD18" s="170">
        <f>'[2]7 imp'!AD18</f>
        <v>0</v>
      </c>
      <c r="AE18" s="171">
        <f>'[2]7 imp'!AE18</f>
        <v>0</v>
      </c>
      <c r="AF18" s="162">
        <f>'[2]7 imp'!AF18</f>
        <v>0</v>
      </c>
      <c r="AG18" s="166">
        <f>'[2]7 imp'!AG18</f>
        <v>0</v>
      </c>
      <c r="AH18" s="166">
        <f>'[2]7 imp'!AH18</f>
        <v>0</v>
      </c>
      <c r="AI18" s="156">
        <f>'[2]7 imp'!AI18</f>
        <v>0</v>
      </c>
      <c r="AJ18" s="172">
        <f>'[2]7 imp'!AJ18</f>
        <v>0</v>
      </c>
      <c r="AK18" s="172">
        <f>'[2]7 imp'!AK18</f>
        <v>0</v>
      </c>
      <c r="AL18" s="172">
        <f>'[2]7 imp'!AL18</f>
        <v>0</v>
      </c>
      <c r="AM18" s="173">
        <f>'[2]7 imp'!AM18</f>
        <v>0</v>
      </c>
      <c r="AN18" s="155">
        <f>'[2]7 imp'!AN18</f>
        <v>0</v>
      </c>
      <c r="AO18" s="156">
        <f>'[2]7 imp'!AO18</f>
        <v>0</v>
      </c>
      <c r="AP18" s="166">
        <f>'[2]7 imp'!AP18</f>
        <v>0</v>
      </c>
      <c r="AQ18" s="167">
        <f>'[2]7 imp'!AQ18</f>
        <v>0</v>
      </c>
      <c r="AR18" s="174">
        <f>'[2]7 imp'!AR18</f>
        <v>0</v>
      </c>
    </row>
    <row r="19" spans="1:44">
      <c r="A19" s="18"/>
      <c r="B19" s="82"/>
      <c r="C19" s="80"/>
      <c r="D19" s="80"/>
      <c r="E19" s="83"/>
      <c r="F19" s="84"/>
      <c r="G19" s="89"/>
      <c r="H19" s="75"/>
      <c r="I19" s="86"/>
      <c r="J19" s="80"/>
      <c r="K19" s="87"/>
      <c r="L19" s="88"/>
      <c r="M19" s="79"/>
      <c r="N19" s="80"/>
      <c r="O19" s="81"/>
      <c r="P19" s="43"/>
      <c r="Q19" s="44"/>
      <c r="R19" s="33"/>
      <c r="V19" s="45"/>
      <c r="W19" s="7"/>
      <c r="X19" s="7"/>
      <c r="Y19" s="46"/>
      <c r="Z19" s="157">
        <f>'[2]7 imp'!Z19</f>
        <v>41080</v>
      </c>
      <c r="AA19" s="169">
        <f>'[2]7 imp'!AA19</f>
        <v>0</v>
      </c>
      <c r="AB19" s="156">
        <f>'[2]7 imp'!AB19</f>
        <v>0</v>
      </c>
      <c r="AC19" s="156">
        <f>'[2]7 imp'!AC19</f>
        <v>0</v>
      </c>
      <c r="AD19" s="170">
        <f>'[2]7 imp'!AD19</f>
        <v>0</v>
      </c>
      <c r="AE19" s="171">
        <f>'[2]7 imp'!AE19</f>
        <v>35633.564489985867</v>
      </c>
      <c r="AF19" s="162">
        <f>'[2]7 imp'!AF19</f>
        <v>36494.674489985868</v>
      </c>
      <c r="AG19" s="166">
        <f>'[2]7 imp'!AG19</f>
        <v>36000</v>
      </c>
      <c r="AH19" s="166">
        <f>'[2]7 imp'!AH19</f>
        <v>4000</v>
      </c>
      <c r="AI19" s="156">
        <f>'[2]7 imp'!AI19</f>
        <v>0</v>
      </c>
      <c r="AJ19" s="172">
        <f>'[2]7 imp'!AJ19</f>
        <v>861.11</v>
      </c>
      <c r="AK19" s="172">
        <f>'[2]7 imp'!AK19</f>
        <v>0</v>
      </c>
      <c r="AL19" s="172">
        <f>'[2]7 imp'!AL19</f>
        <v>-250.87751856554661</v>
      </c>
      <c r="AM19" s="173">
        <f>'[2]7 imp'!AM19</f>
        <v>-4115.5579914485861</v>
      </c>
      <c r="AN19" s="155">
        <f>'[2]7 imp'!AN19</f>
        <v>0</v>
      </c>
      <c r="AO19" s="156">
        <f>'[2]7 imp'!AO19</f>
        <v>527.77777777777783</v>
      </c>
      <c r="AP19" s="166">
        <f>'[2]7 imp'!AP19</f>
        <v>0</v>
      </c>
      <c r="AQ19" s="167">
        <f>'[2]7 imp'!AQ19</f>
        <v>66.011309563027226</v>
      </c>
      <c r="AR19" s="174">
        <f>'[2]7 imp'!AR19</f>
        <v>-4115.5579914485861</v>
      </c>
    </row>
    <row r="20" spans="1:44">
      <c r="A20" s="18"/>
      <c r="B20" s="82"/>
      <c r="C20" s="80"/>
      <c r="D20" s="80"/>
      <c r="E20" s="83"/>
      <c r="F20" s="84"/>
      <c r="G20" s="89"/>
      <c r="H20" s="75"/>
      <c r="I20" s="86"/>
      <c r="J20" s="80"/>
      <c r="K20" s="87"/>
      <c r="L20" s="88"/>
      <c r="M20" s="79"/>
      <c r="N20" s="80"/>
      <c r="O20" s="81"/>
      <c r="P20" s="43">
        <v>0</v>
      </c>
      <c r="Q20" s="44"/>
      <c r="R20" s="33"/>
      <c r="V20" s="45" t="e">
        <f>N20-#REF!</f>
        <v>#REF!</v>
      </c>
      <c r="W20" s="7" t="e">
        <f>J20-#REF!</f>
        <v>#REF!</v>
      </c>
      <c r="X20" s="7">
        <f>ROUND((O19+O20),2)</f>
        <v>0</v>
      </c>
      <c r="Y20" s="46" t="s">
        <v>28</v>
      </c>
      <c r="Z20" s="157">
        <f>'[2]7 imp'!Z20</f>
        <v>41090</v>
      </c>
      <c r="AA20" s="169">
        <f>'[2]7 imp'!AA20</f>
        <v>0</v>
      </c>
      <c r="AB20" s="156">
        <f>'[2]7 imp'!AB20</f>
        <v>0</v>
      </c>
      <c r="AC20" s="156">
        <f>'[2]7 imp'!AC20</f>
        <v>0</v>
      </c>
      <c r="AD20" s="170">
        <f>'[2]7 imp'!AD20</f>
        <v>0</v>
      </c>
      <c r="AE20" s="171">
        <f>'[2]7 imp'!AE20</f>
        <v>35898.55992241823</v>
      </c>
      <c r="AF20" s="162">
        <f>'[2]7 imp'!AF20</f>
        <v>35898.559922418237</v>
      </c>
      <c r="AG20" s="166">
        <f>'[2]7 imp'!AG20</f>
        <v>36000</v>
      </c>
      <c r="AH20" s="166">
        <f>'[2]7 imp'!AH20</f>
        <v>4000</v>
      </c>
      <c r="AI20" s="156">
        <f>'[2]7 imp'!AI20</f>
        <v>275</v>
      </c>
      <c r="AJ20" s="172">
        <f>'[2]7 imp'!AJ20</f>
        <v>861.11</v>
      </c>
      <c r="AK20" s="172">
        <f>'[2]7 imp'!AK20</f>
        <v>27.777777777777779</v>
      </c>
      <c r="AL20" s="172">
        <f>'[2]7 imp'!AL20</f>
        <v>-260.02271827725036</v>
      </c>
      <c r="AM20" s="173">
        <f>'[2]7 imp'!AM20</f>
        <v>-5005.3051370822968</v>
      </c>
      <c r="AN20" s="155">
        <f>'[2]7 imp'!AN20</f>
        <v>0</v>
      </c>
      <c r="AO20" s="156">
        <f>'[2]7 imp'!AO20</f>
        <v>275</v>
      </c>
      <c r="AP20" s="166">
        <f>'[2]7 imp'!AP20</f>
        <v>27.777777777777779</v>
      </c>
      <c r="AQ20" s="167">
        <f>'[2]7 imp'!AQ20</f>
        <v>-9.1451997117037536</v>
      </c>
      <c r="AR20" s="174">
        <f>'[2]7 imp'!AR20</f>
        <v>-889.74714563371072</v>
      </c>
    </row>
    <row r="21" spans="1:44">
      <c r="A21" s="18" t="s">
        <v>47</v>
      </c>
      <c r="B21" s="82" t="e">
        <f>XNPV(O6,B24:B39,A24:A39)</f>
        <v>#REF!</v>
      </c>
      <c r="C21" s="80"/>
      <c r="D21" s="80"/>
      <c r="E21" s="83"/>
      <c r="F21" s="84"/>
      <c r="G21" s="89"/>
      <c r="H21" s="75"/>
      <c r="I21" s="86"/>
      <c r="J21" s="80"/>
      <c r="K21" s="87"/>
      <c r="L21" s="88"/>
      <c r="M21" s="79"/>
      <c r="N21" s="80"/>
      <c r="O21" s="81"/>
      <c r="P21" s="43">
        <v>0</v>
      </c>
      <c r="Q21" s="44" t="e">
        <f>M21/H16</f>
        <v>#DIV/0!</v>
      </c>
      <c r="R21" s="33"/>
      <c r="S21" s="2">
        <f>N17+N21-D21</f>
        <v>0</v>
      </c>
      <c r="T21" s="7">
        <f>O21+O17</f>
        <v>0</v>
      </c>
      <c r="U21" s="7">
        <f>M17+M21</f>
        <v>0</v>
      </c>
      <c r="V21" s="45" t="e">
        <f>N21-#REF!</f>
        <v>#REF!</v>
      </c>
      <c r="W21" s="7" t="e">
        <f>J21-#REF!</f>
        <v>#REF!</v>
      </c>
      <c r="X21" s="7"/>
      <c r="Z21" s="157">
        <f>'[2]7 imp'!Z21</f>
        <v>41110</v>
      </c>
      <c r="AA21" s="169">
        <f>'[2]7 imp'!AA21</f>
        <v>0</v>
      </c>
      <c r="AB21" s="154">
        <f>'[2]7 imp'!AB21</f>
        <v>0</v>
      </c>
      <c r="AC21" s="154">
        <f>'[2]7 imp'!AC21</f>
        <v>0</v>
      </c>
      <c r="AD21" s="170">
        <f>'[2]7 imp'!AD21</f>
        <v>0</v>
      </c>
      <c r="AE21" s="171">
        <f>'[2]7 imp'!AE21</f>
        <v>36434.477501703332</v>
      </c>
      <c r="AF21" s="162">
        <f>'[2]7 imp'!AF21</f>
        <v>36434.477501703332</v>
      </c>
      <c r="AG21" s="166">
        <f>'[2]7 imp'!AG21</f>
        <v>32000</v>
      </c>
      <c r="AH21" s="166">
        <f>'[2]7 imp'!AH21</f>
        <v>8000</v>
      </c>
      <c r="AI21" s="156">
        <f>'[2]7 imp'!AI21</f>
        <v>0</v>
      </c>
      <c r="AJ21" s="172">
        <f>'[2]7 imp'!AJ21</f>
        <v>1136.1100000000001</v>
      </c>
      <c r="AK21" s="172">
        <f>'[2]7 imp'!AK21</f>
        <v>83.333333333333343</v>
      </c>
      <c r="AL21" s="172">
        <f>'[2]7 imp'!AL21</f>
        <v>-200.88784053766705</v>
      </c>
      <c r="AM21" s="173">
        <f>'[2]7 imp'!AM21</f>
        <v>-4584.0779910923347</v>
      </c>
      <c r="AN21" s="155">
        <f>'[2]7 imp'!AN21</f>
        <v>0</v>
      </c>
      <c r="AO21" s="156">
        <f>'[2]7 imp'!AO21</f>
        <v>475</v>
      </c>
      <c r="AP21" s="166">
        <f>'[2]7 imp'!AP21</f>
        <v>55.555555555555557</v>
      </c>
      <c r="AQ21" s="167">
        <f>'[2]7 imp'!AQ21</f>
        <v>59.134877739583317</v>
      </c>
      <c r="AR21" s="174">
        <f>'[2]7 imp'!AR21</f>
        <v>421.22714598996208</v>
      </c>
    </row>
    <row r="22" spans="1:44">
      <c r="A22" s="18" t="s">
        <v>50</v>
      </c>
      <c r="B22" s="82" t="e">
        <f>B21-'Example 3 modif old'!H23</f>
        <v>#REF!</v>
      </c>
      <c r="C22" s="80"/>
      <c r="D22" s="80"/>
      <c r="E22" s="83"/>
      <c r="F22" s="84"/>
      <c r="G22" s="89"/>
      <c r="H22" s="75"/>
      <c r="I22" s="86"/>
      <c r="J22" s="80"/>
      <c r="K22" s="87"/>
      <c r="L22" s="88"/>
      <c r="M22" s="79"/>
      <c r="N22" s="80"/>
      <c r="O22" s="81"/>
      <c r="P22" s="43">
        <v>0</v>
      </c>
      <c r="Q22" s="44"/>
      <c r="R22" s="33"/>
      <c r="V22" s="45" t="e">
        <f>N22-#REF!</f>
        <v>#REF!</v>
      </c>
      <c r="W22" s="7" t="e">
        <f>J22-#REF!</f>
        <v>#REF!</v>
      </c>
      <c r="X22" s="7">
        <f>ROUND((O21+O22),2)</f>
        <v>0</v>
      </c>
      <c r="Y22" s="46" t="s">
        <v>28</v>
      </c>
      <c r="Z22" s="157">
        <f>'[2]7 imp'!Z22</f>
        <v>41121</v>
      </c>
      <c r="AA22" s="169">
        <f>'[2]7 imp'!AA22</f>
        <v>0</v>
      </c>
      <c r="AB22" s="156">
        <f>'[2]7 imp'!AB22</f>
        <v>0</v>
      </c>
      <c r="AC22" s="156">
        <f>'[2]7 imp'!AC22</f>
        <v>0</v>
      </c>
      <c r="AD22" s="170">
        <f>'[2]7 imp'!AD22</f>
        <v>0</v>
      </c>
      <c r="AE22" s="171">
        <f>'[2]7 imp'!AE22</f>
        <v>36732.634802462635</v>
      </c>
      <c r="AF22" s="162">
        <f>'[2]7 imp'!AF22</f>
        <v>36732.634802462635</v>
      </c>
      <c r="AG22" s="166">
        <f>'[2]7 imp'!AG22</f>
        <v>32000</v>
      </c>
      <c r="AH22" s="166">
        <f>'[2]7 imp'!AH22</f>
        <v>8000</v>
      </c>
      <c r="AI22" s="156">
        <f>'[2]7 imp'!AI22</f>
        <v>266.66666666666669</v>
      </c>
      <c r="AJ22" s="172">
        <f>'[2]7 imp'!AJ22</f>
        <v>1136.1100000000001</v>
      </c>
      <c r="AK22" s="172">
        <f>'[2]7 imp'!AK22</f>
        <v>144.44444444444446</v>
      </c>
      <c r="AL22" s="172">
        <f>'[2]7 imp'!AL22</f>
        <v>-207.33017854298532</v>
      </c>
      <c r="AM22" s="173">
        <f>'[2]7 imp'!AM22</f>
        <v>-4607.2561301054902</v>
      </c>
      <c r="AN22" s="155">
        <f>'[2]7 imp'!AN22</f>
        <v>0</v>
      </c>
      <c r="AO22" s="156">
        <f>'[2]7 imp'!AO22</f>
        <v>266.66666666666669</v>
      </c>
      <c r="AP22" s="166">
        <f>'[2]7 imp'!AP22</f>
        <v>61.111111111111114</v>
      </c>
      <c r="AQ22" s="167">
        <f>'[2]7 imp'!AQ22</f>
        <v>-6.4423380053182768</v>
      </c>
      <c r="AR22" s="174">
        <f>'[2]7 imp'!AR22</f>
        <v>-23.178139013155487</v>
      </c>
    </row>
    <row r="23" spans="1:44" ht="15.75" thickBot="1">
      <c r="A23" s="18" t="s">
        <v>48</v>
      </c>
      <c r="B23" s="82" t="e">
        <f>'Example 3 modif old'!K23+B22-E24</f>
        <v>#REF!</v>
      </c>
      <c r="C23" s="80"/>
      <c r="D23" s="80"/>
      <c r="E23" s="83"/>
      <c r="F23" s="84"/>
      <c r="G23" s="89"/>
      <c r="H23" s="75"/>
      <c r="I23" s="86"/>
      <c r="J23" s="184"/>
      <c r="K23" s="87"/>
      <c r="L23" s="88"/>
      <c r="M23" s="79"/>
      <c r="N23" s="80"/>
      <c r="O23" s="81"/>
      <c r="P23" s="43"/>
      <c r="Q23" s="44"/>
      <c r="R23" s="33"/>
      <c r="V23" s="45"/>
      <c r="W23" s="7"/>
      <c r="X23" s="7"/>
      <c r="Y23" s="46"/>
      <c r="Z23" s="157"/>
      <c r="AA23" s="169"/>
      <c r="AB23" s="156"/>
      <c r="AC23" s="156"/>
      <c r="AD23" s="170"/>
      <c r="AE23" s="171"/>
      <c r="AF23" s="162"/>
      <c r="AG23" s="166"/>
      <c r="AH23" s="166"/>
      <c r="AI23" s="156"/>
      <c r="AJ23" s="172"/>
      <c r="AK23" s="172"/>
      <c r="AL23" s="172"/>
      <c r="AM23" s="173"/>
      <c r="AN23" s="155"/>
      <c r="AO23" s="156"/>
      <c r="AP23" s="166"/>
      <c r="AQ23" s="167"/>
      <c r="AR23" s="174"/>
    </row>
    <row r="24" spans="1:44" ht="16.5" thickTop="1" thickBot="1">
      <c r="A24" s="115">
        <v>41122</v>
      </c>
      <c r="B24" s="37">
        <f t="shared" ref="B24:B39" si="0">SUM(C24:E24)</f>
        <v>50</v>
      </c>
      <c r="C24" s="29"/>
      <c r="D24" s="110">
        <v>0</v>
      </c>
      <c r="E24" s="38">
        <v>50</v>
      </c>
      <c r="F24" s="39"/>
      <c r="G24" s="47"/>
      <c r="H24" s="24" t="e">
        <f>(XNPV($O$6,B24:$B$39,A24:$A$39)-B24)*((1+$O$6)^(1/365))</f>
        <v>#REF!</v>
      </c>
      <c r="I24" s="41">
        <v>32000</v>
      </c>
      <c r="J24" s="20">
        <f>I24*O4*1/360+266.67</f>
        <v>267.55888888888893</v>
      </c>
      <c r="K24" s="42" t="e">
        <f>H24-I24-J24</f>
        <v>#REF!</v>
      </c>
      <c r="L24" s="33"/>
      <c r="M24" s="28" t="e">
        <f>N24+O24</f>
        <v>#REF!</v>
      </c>
      <c r="N24" s="110">
        <f>J24-266.67</f>
        <v>0.88888888888891415</v>
      </c>
      <c r="O24" s="30" t="e">
        <f>-B23+K24</f>
        <v>#REF!</v>
      </c>
      <c r="P24" s="43"/>
      <c r="Q24" s="44"/>
      <c r="R24" s="33"/>
      <c r="V24" s="45"/>
      <c r="W24" s="7"/>
      <c r="X24" s="7"/>
      <c r="Y24" s="46"/>
      <c r="Z24" s="115">
        <v>41141</v>
      </c>
      <c r="AA24" s="128">
        <f t="shared" ref="AA24:AA38" si="1">SUM(AB24:AD24)</f>
        <v>0</v>
      </c>
      <c r="AB24" s="125"/>
      <c r="AC24" s="125"/>
      <c r="AD24" s="129"/>
      <c r="AE24" s="130"/>
      <c r="AF24" s="120"/>
      <c r="AG24" s="131"/>
      <c r="AH24" s="131"/>
      <c r="AI24" s="125"/>
      <c r="AJ24" s="132"/>
      <c r="AK24" s="132"/>
      <c r="AL24" s="132"/>
      <c r="AM24" s="133"/>
      <c r="AN24" s="124"/>
      <c r="AO24" s="125"/>
      <c r="AP24" s="131"/>
      <c r="AQ24" s="126"/>
      <c r="AR24" s="134"/>
    </row>
    <row r="25" spans="1:44" ht="15.75" thickTop="1">
      <c r="A25" s="18">
        <f>'[2]2  initial'!A23</f>
        <v>41141</v>
      </c>
      <c r="B25" s="37">
        <f t="shared" si="0"/>
        <v>4283.5588888888888</v>
      </c>
      <c r="C25" s="29">
        <v>4000</v>
      </c>
      <c r="D25" s="110">
        <f>I24*O$4*(A25-A24)/360+266.67</f>
        <v>283.55888888888893</v>
      </c>
      <c r="E25" s="38"/>
      <c r="F25" s="39"/>
      <c r="G25" s="47"/>
      <c r="H25" s="24" t="e">
        <f>(XNPV($O$6,B25:$B$39,A25:$A$39)-B25)*((1+$O$6)^(1/365))</f>
        <v>#REF!</v>
      </c>
      <c r="I25" s="41">
        <f>I24-C25</f>
        <v>28000</v>
      </c>
      <c r="J25" s="29">
        <f>J24+N25-D25</f>
        <v>0</v>
      </c>
      <c r="K25" s="42" t="e">
        <f>H25-I25+J25</f>
        <v>#REF!</v>
      </c>
      <c r="L25" s="33">
        <f t="shared" ref="L25:L39" si="2">P25</f>
        <v>0</v>
      </c>
      <c r="M25" s="28" t="e">
        <f>N25+O25</f>
        <v>#REF!</v>
      </c>
      <c r="N25" s="110">
        <f>I24*O$4*(A25-A24-1)/360</f>
        <v>16</v>
      </c>
      <c r="O25" s="30" t="e">
        <f>K25-K24</f>
        <v>#REF!</v>
      </c>
      <c r="P25" s="43">
        <v>0</v>
      </c>
      <c r="Q25" s="44" t="e">
        <f>M25/H21</f>
        <v>#REF!</v>
      </c>
      <c r="R25" s="33"/>
      <c r="S25" s="2">
        <f>N22+N25-D25</f>
        <v>-267.55888888888893</v>
      </c>
      <c r="T25" s="7" t="e">
        <f>O25+O22</f>
        <v>#REF!</v>
      </c>
      <c r="U25" s="7" t="e">
        <f>M22+M25</f>
        <v>#REF!</v>
      </c>
      <c r="V25" s="45" t="e">
        <f>N25-#REF!</f>
        <v>#REF!</v>
      </c>
      <c r="W25" s="7" t="e">
        <f>J25-#REF!</f>
        <v>#REF!</v>
      </c>
      <c r="X25" s="7"/>
      <c r="Z25" s="115">
        <v>41152</v>
      </c>
      <c r="AA25" s="128">
        <f t="shared" si="1"/>
        <v>0</v>
      </c>
      <c r="AB25" s="125"/>
      <c r="AC25" s="125"/>
      <c r="AD25" s="129"/>
      <c r="AE25" s="130" t="e">
        <f>(XNPV(AQ$6,AA25:AA$38,Z25:Z$38))</f>
        <v>#REF!</v>
      </c>
      <c r="AF25" s="120" t="e">
        <f t="shared" ref="AF25:AF38" si="3">AG25+AH25+AI25+AJ25+AK25+AL25+AM25</f>
        <v>#REF!</v>
      </c>
      <c r="AG25" s="131">
        <f t="shared" ref="AG25:AG38" si="4">I25</f>
        <v>28000</v>
      </c>
      <c r="AH25" s="131">
        <f t="shared" ref="AH25:AH37" si="5">AH24+C25</f>
        <v>4000</v>
      </c>
      <c r="AI25" s="125">
        <f t="shared" ref="AI25:AI38" si="6">J25</f>
        <v>0</v>
      </c>
      <c r="AJ25" s="132">
        <f t="shared" ref="AJ25:AJ37" si="7">AJ24+AI24</f>
        <v>0</v>
      </c>
      <c r="AK25" s="132">
        <f t="shared" ref="AK25:AK36" si="8">AK24+AP25-AC25</f>
        <v>0</v>
      </c>
      <c r="AL25" s="132" t="e">
        <f t="shared" ref="AL25:AL38" si="9">K25</f>
        <v>#REF!</v>
      </c>
      <c r="AM25" s="133" t="e">
        <f t="shared" ref="AM25:AM37" si="10">AE25-AG25-AH25-AI25-AJ25-AK25-AL25</f>
        <v>#REF!</v>
      </c>
      <c r="AN25" s="124"/>
      <c r="AO25" s="125">
        <f t="shared" ref="AO25:AO38" si="11">N25</f>
        <v>16</v>
      </c>
      <c r="AP25" s="131">
        <f t="shared" ref="AP25:AP38" si="12">AH24*AQ$4*(Z25-Z24)/360</f>
        <v>0</v>
      </c>
      <c r="AQ25" s="126" t="e">
        <f t="shared" ref="AQ25:AQ38" si="13">O25</f>
        <v>#REF!</v>
      </c>
      <c r="AR25" s="134" t="e">
        <f t="shared" ref="AR25:AR38" si="14">AM25-AM24</f>
        <v>#REF!</v>
      </c>
    </row>
    <row r="26" spans="1:44">
      <c r="A26" s="18">
        <f>'[2]2  initial'!A24</f>
        <v>41152</v>
      </c>
      <c r="B26" s="37">
        <f t="shared" si="0"/>
        <v>0</v>
      </c>
      <c r="C26" s="29">
        <v>0</v>
      </c>
      <c r="D26" s="110">
        <v>0</v>
      </c>
      <c r="E26" s="38"/>
      <c r="F26" s="39"/>
      <c r="G26" s="47"/>
      <c r="H26" s="24" t="e">
        <f>(XNPV($O$6,B26:$B$39,A26:$A$39)-B26)*((1+$O$6)^(1/365))</f>
        <v>#REF!</v>
      </c>
      <c r="I26" s="41">
        <f t="shared" ref="I26:I39" si="15">I25-C26</f>
        <v>28000</v>
      </c>
      <c r="J26" s="29">
        <f t="shared" ref="J26:J39" si="16">J25+N26-D26</f>
        <v>9.3333333333333339</v>
      </c>
      <c r="K26" s="42" t="e">
        <f t="shared" ref="K26:K39" si="17">H26-I26+J26</f>
        <v>#REF!</v>
      </c>
      <c r="L26" s="33">
        <f t="shared" si="2"/>
        <v>0</v>
      </c>
      <c r="M26" s="28" t="e">
        <f t="shared" ref="M26:M39" si="18">N26+O26</f>
        <v>#REF!</v>
      </c>
      <c r="N26" s="110">
        <f>I25*O$4*(A26-A25+1)/360</f>
        <v>9.3333333333333339</v>
      </c>
      <c r="O26" s="30" t="e">
        <f t="shared" ref="O26:O39" si="19">K26-K25</f>
        <v>#REF!</v>
      </c>
      <c r="P26" s="43">
        <v>0</v>
      </c>
      <c r="Q26" s="44"/>
      <c r="R26" s="33"/>
      <c r="V26" s="45" t="e">
        <f>N26-#REF!</f>
        <v>#REF!</v>
      </c>
      <c r="W26" s="7" t="e">
        <f>J26-#REF!</f>
        <v>#REF!</v>
      </c>
      <c r="X26" s="7" t="e">
        <f>ROUND((O25+O26),2)</f>
        <v>#REF!</v>
      </c>
      <c r="Y26" s="46" t="s">
        <v>28</v>
      </c>
      <c r="Z26" s="115">
        <v>41172</v>
      </c>
      <c r="AA26" s="128">
        <f t="shared" si="1"/>
        <v>0</v>
      </c>
      <c r="AB26" s="125"/>
      <c r="AC26" s="125"/>
      <c r="AD26" s="129"/>
      <c r="AE26" s="130" t="e">
        <f>(XNPV(AQ$6,AA26:AA$38,Z26:Z$38))</f>
        <v>#REF!</v>
      </c>
      <c r="AF26" s="120" t="e">
        <f t="shared" si="3"/>
        <v>#REF!</v>
      </c>
      <c r="AG26" s="131">
        <f t="shared" si="4"/>
        <v>28000</v>
      </c>
      <c r="AH26" s="131">
        <f t="shared" si="5"/>
        <v>4000</v>
      </c>
      <c r="AI26" s="125">
        <f t="shared" si="6"/>
        <v>9.3333333333333339</v>
      </c>
      <c r="AJ26" s="132">
        <f t="shared" si="7"/>
        <v>0</v>
      </c>
      <c r="AK26" s="132">
        <f t="shared" si="8"/>
        <v>55.555555555555557</v>
      </c>
      <c r="AL26" s="132" t="e">
        <f t="shared" si="9"/>
        <v>#REF!</v>
      </c>
      <c r="AM26" s="133" t="e">
        <f t="shared" si="10"/>
        <v>#REF!</v>
      </c>
      <c r="AN26" s="124"/>
      <c r="AO26" s="125">
        <f t="shared" si="11"/>
        <v>9.3333333333333339</v>
      </c>
      <c r="AP26" s="131">
        <f t="shared" si="12"/>
        <v>55.555555555555557</v>
      </c>
      <c r="AQ26" s="126" t="e">
        <f t="shared" si="13"/>
        <v>#REF!</v>
      </c>
      <c r="AR26" s="134" t="e">
        <f t="shared" si="14"/>
        <v>#REF!</v>
      </c>
    </row>
    <row r="27" spans="1:44">
      <c r="A27" s="18">
        <f>'[2]2  initial'!A25</f>
        <v>41172</v>
      </c>
      <c r="B27" s="37">
        <f t="shared" si="0"/>
        <v>4024.1111111111113</v>
      </c>
      <c r="C27" s="29">
        <v>4000</v>
      </c>
      <c r="D27" s="110">
        <f>I25*O$4*(A27-A25)/360</f>
        <v>24.111111111111111</v>
      </c>
      <c r="E27" s="38"/>
      <c r="F27" s="39"/>
      <c r="G27" s="47"/>
      <c r="H27" s="24" t="e">
        <f>(XNPV($O$6,B27:$B$39,A27:$A$39)-B27)*((1+$O$6)^(1/365))</f>
        <v>#REF!</v>
      </c>
      <c r="I27" s="41">
        <f t="shared" si="15"/>
        <v>24000</v>
      </c>
      <c r="J27" s="29">
        <f t="shared" si="16"/>
        <v>0</v>
      </c>
      <c r="K27" s="42" t="e">
        <f t="shared" si="17"/>
        <v>#REF!</v>
      </c>
      <c r="L27" s="33">
        <f t="shared" si="2"/>
        <v>0</v>
      </c>
      <c r="M27" s="28" t="e">
        <f t="shared" si="18"/>
        <v>#REF!</v>
      </c>
      <c r="N27" s="110">
        <f t="shared" ref="N27" si="20">I26*O$4*(A27-A26-1)/360</f>
        <v>14.777777777777779</v>
      </c>
      <c r="O27" s="30" t="e">
        <f t="shared" si="19"/>
        <v>#REF!</v>
      </c>
      <c r="P27" s="43">
        <v>0</v>
      </c>
      <c r="Q27" s="44" t="e">
        <f>M27/H25</f>
        <v>#REF!</v>
      </c>
      <c r="R27" s="33"/>
      <c r="S27" s="2">
        <f>N26+N27-D27</f>
        <v>0</v>
      </c>
      <c r="T27" s="7" t="e">
        <f>O27+O26</f>
        <v>#REF!</v>
      </c>
      <c r="U27" s="7" t="e">
        <f>M26+M27</f>
        <v>#REF!</v>
      </c>
      <c r="V27" s="45" t="e">
        <f>N27-#REF!</f>
        <v>#REF!</v>
      </c>
      <c r="W27" s="7" t="e">
        <f>J27-#REF!</f>
        <v>#REF!</v>
      </c>
      <c r="X27" s="7"/>
      <c r="Z27" s="115">
        <v>41182</v>
      </c>
      <c r="AA27" s="128">
        <f t="shared" si="1"/>
        <v>0</v>
      </c>
      <c r="AB27" s="125"/>
      <c r="AC27" s="125"/>
      <c r="AD27" s="129"/>
      <c r="AE27" s="130" t="e">
        <f>(XNPV(AQ$6,AA27:AA$38,Z27:Z$38))</f>
        <v>#REF!</v>
      </c>
      <c r="AF27" s="120" t="e">
        <f t="shared" si="3"/>
        <v>#REF!</v>
      </c>
      <c r="AG27" s="131">
        <f t="shared" si="4"/>
        <v>24000</v>
      </c>
      <c r="AH27" s="131">
        <f t="shared" si="5"/>
        <v>8000</v>
      </c>
      <c r="AI27" s="125">
        <f t="shared" si="6"/>
        <v>0</v>
      </c>
      <c r="AJ27" s="132">
        <f t="shared" si="7"/>
        <v>9.3333333333333339</v>
      </c>
      <c r="AK27" s="132">
        <f t="shared" si="8"/>
        <v>83.333333333333343</v>
      </c>
      <c r="AL27" s="132" t="e">
        <f t="shared" si="9"/>
        <v>#REF!</v>
      </c>
      <c r="AM27" s="133" t="e">
        <f t="shared" si="10"/>
        <v>#REF!</v>
      </c>
      <c r="AN27" s="124"/>
      <c r="AO27" s="125">
        <f t="shared" si="11"/>
        <v>14.777777777777779</v>
      </c>
      <c r="AP27" s="131">
        <f t="shared" si="12"/>
        <v>27.777777777777779</v>
      </c>
      <c r="AQ27" s="126" t="e">
        <f t="shared" si="13"/>
        <v>#REF!</v>
      </c>
      <c r="AR27" s="134" t="e">
        <f t="shared" si="14"/>
        <v>#REF!</v>
      </c>
    </row>
    <row r="28" spans="1:44">
      <c r="A28" s="18">
        <f>'[2]2  initial'!A26</f>
        <v>41182</v>
      </c>
      <c r="B28" s="37">
        <f t="shared" si="0"/>
        <v>0</v>
      </c>
      <c r="C28" s="29">
        <v>0</v>
      </c>
      <c r="D28" s="110">
        <v>0</v>
      </c>
      <c r="E28" s="38"/>
      <c r="F28" s="39"/>
      <c r="G28" s="47"/>
      <c r="H28" s="24" t="e">
        <f>(XNPV($O$6,B28:$B$39,A28:$A$39)-B28)*((1+$O$6)^(1/365))</f>
        <v>#REF!</v>
      </c>
      <c r="I28" s="41">
        <f t="shared" si="15"/>
        <v>24000</v>
      </c>
      <c r="J28" s="29">
        <f t="shared" si="16"/>
        <v>7.333333333333333</v>
      </c>
      <c r="K28" s="42" t="e">
        <f t="shared" si="17"/>
        <v>#REF!</v>
      </c>
      <c r="L28" s="33">
        <f t="shared" si="2"/>
        <v>0</v>
      </c>
      <c r="M28" s="28" t="e">
        <f t="shared" si="18"/>
        <v>#REF!</v>
      </c>
      <c r="N28" s="110">
        <f t="shared" ref="N28" si="21">I27*O$4*(A28-A27+1)/360</f>
        <v>7.333333333333333</v>
      </c>
      <c r="O28" s="30" t="e">
        <f t="shared" si="19"/>
        <v>#REF!</v>
      </c>
      <c r="P28" s="43">
        <v>0</v>
      </c>
      <c r="Q28" s="44"/>
      <c r="R28" s="33"/>
      <c r="V28" s="45" t="e">
        <f>N28-#REF!</f>
        <v>#REF!</v>
      </c>
      <c r="W28" s="7" t="e">
        <f>J28-#REF!</f>
        <v>#REF!</v>
      </c>
      <c r="X28" s="7" t="e">
        <f>ROUND((O27+O28),2)</f>
        <v>#REF!</v>
      </c>
      <c r="Y28" s="46" t="s">
        <v>28</v>
      </c>
      <c r="Z28" s="115">
        <v>41202</v>
      </c>
      <c r="AA28" s="128">
        <f t="shared" si="1"/>
        <v>0</v>
      </c>
      <c r="AB28" s="125"/>
      <c r="AC28" s="125"/>
      <c r="AD28" s="129"/>
      <c r="AE28" s="130" t="e">
        <f>(XNPV(AQ$6,AA28:AA$38,Z28:Z$38))</f>
        <v>#REF!</v>
      </c>
      <c r="AF28" s="120" t="e">
        <f t="shared" si="3"/>
        <v>#REF!</v>
      </c>
      <c r="AG28" s="131">
        <f t="shared" si="4"/>
        <v>24000</v>
      </c>
      <c r="AH28" s="131">
        <f t="shared" si="5"/>
        <v>8000</v>
      </c>
      <c r="AI28" s="125">
        <f t="shared" si="6"/>
        <v>7.333333333333333</v>
      </c>
      <c r="AJ28" s="132">
        <f t="shared" si="7"/>
        <v>9.3333333333333339</v>
      </c>
      <c r="AK28" s="132">
        <f t="shared" si="8"/>
        <v>194.44444444444446</v>
      </c>
      <c r="AL28" s="132" t="e">
        <f t="shared" si="9"/>
        <v>#REF!</v>
      </c>
      <c r="AM28" s="133" t="e">
        <f t="shared" si="10"/>
        <v>#REF!</v>
      </c>
      <c r="AN28" s="124"/>
      <c r="AO28" s="125">
        <f t="shared" si="11"/>
        <v>7.333333333333333</v>
      </c>
      <c r="AP28" s="131">
        <f t="shared" si="12"/>
        <v>111.11111111111111</v>
      </c>
      <c r="AQ28" s="126" t="e">
        <f t="shared" si="13"/>
        <v>#REF!</v>
      </c>
      <c r="AR28" s="134" t="e">
        <f t="shared" si="14"/>
        <v>#REF!</v>
      </c>
    </row>
    <row r="29" spans="1:44">
      <c r="A29" s="18">
        <f>'[2]2  initial'!A27</f>
        <v>41202</v>
      </c>
      <c r="B29" s="37">
        <f t="shared" si="0"/>
        <v>4020</v>
      </c>
      <c r="C29" s="29">
        <f>C27</f>
        <v>4000</v>
      </c>
      <c r="D29" s="29">
        <f>I27*O$4*(A29-A27)/360</f>
        <v>20</v>
      </c>
      <c r="E29" s="38"/>
      <c r="F29" s="39"/>
      <c r="G29" s="47"/>
      <c r="H29" s="24" t="e">
        <f>(XNPV($O$6,B29:$B$39,A29:$A$39)-B29)*((1+$O$6)^(1/365))</f>
        <v>#REF!</v>
      </c>
      <c r="I29" s="41">
        <f t="shared" si="15"/>
        <v>20000</v>
      </c>
      <c r="J29" s="29">
        <f t="shared" si="16"/>
        <v>0</v>
      </c>
      <c r="K29" s="42" t="e">
        <f t="shared" si="17"/>
        <v>#REF!</v>
      </c>
      <c r="L29" s="33">
        <f t="shared" si="2"/>
        <v>0</v>
      </c>
      <c r="M29" s="28" t="e">
        <f t="shared" si="18"/>
        <v>#REF!</v>
      </c>
      <c r="N29" s="110">
        <f t="shared" ref="N29" si="22">I28*O$4*(A29-A28-1)/360</f>
        <v>12.666666666666666</v>
      </c>
      <c r="O29" s="30" t="e">
        <f t="shared" si="19"/>
        <v>#REF!</v>
      </c>
      <c r="P29" s="43">
        <v>0</v>
      </c>
      <c r="Q29" s="44" t="e">
        <f>M29/H27</f>
        <v>#REF!</v>
      </c>
      <c r="R29" s="33"/>
      <c r="S29" s="2">
        <f>N28+N29-D29</f>
        <v>0</v>
      </c>
      <c r="T29" s="7" t="e">
        <f>O29+O28</f>
        <v>#REF!</v>
      </c>
      <c r="U29" s="7" t="e">
        <f>M28+M29</f>
        <v>#REF!</v>
      </c>
      <c r="V29" s="45" t="e">
        <f>N29-#REF!</f>
        <v>#REF!</v>
      </c>
      <c r="W29" s="7" t="e">
        <f>J29-#REF!</f>
        <v>#REF!</v>
      </c>
      <c r="X29" s="7"/>
      <c r="Z29" s="115">
        <v>41213</v>
      </c>
      <c r="AA29" s="128">
        <f t="shared" si="1"/>
        <v>0</v>
      </c>
      <c r="AB29" s="125"/>
      <c r="AC29" s="125"/>
      <c r="AD29" s="129"/>
      <c r="AE29" s="130" t="e">
        <f>(XNPV(AQ$6,AA29:AA$38,Z29:Z$38))</f>
        <v>#REF!</v>
      </c>
      <c r="AF29" s="120" t="e">
        <f t="shared" si="3"/>
        <v>#REF!</v>
      </c>
      <c r="AG29" s="131">
        <f t="shared" si="4"/>
        <v>20000</v>
      </c>
      <c r="AH29" s="131">
        <f t="shared" si="5"/>
        <v>12000</v>
      </c>
      <c r="AI29" s="125">
        <f t="shared" si="6"/>
        <v>0</v>
      </c>
      <c r="AJ29" s="132">
        <f t="shared" si="7"/>
        <v>16.666666666666668</v>
      </c>
      <c r="AK29" s="132">
        <f t="shared" si="8"/>
        <v>255.55555555555557</v>
      </c>
      <c r="AL29" s="132" t="e">
        <f t="shared" si="9"/>
        <v>#REF!</v>
      </c>
      <c r="AM29" s="133" t="e">
        <f t="shared" si="10"/>
        <v>#REF!</v>
      </c>
      <c r="AN29" s="124"/>
      <c r="AO29" s="125">
        <f t="shared" si="11"/>
        <v>12.666666666666666</v>
      </c>
      <c r="AP29" s="131">
        <f t="shared" si="12"/>
        <v>61.111111111111114</v>
      </c>
      <c r="AQ29" s="126" t="e">
        <f t="shared" si="13"/>
        <v>#REF!</v>
      </c>
      <c r="AR29" s="134" t="e">
        <f t="shared" si="14"/>
        <v>#REF!</v>
      </c>
    </row>
    <row r="30" spans="1:44">
      <c r="A30" s="18">
        <f>'[2]2  initial'!A28</f>
        <v>41213</v>
      </c>
      <c r="B30" s="37">
        <f t="shared" si="0"/>
        <v>0</v>
      </c>
      <c r="C30" s="29">
        <f t="shared" ref="C30:C38" si="23">C28</f>
        <v>0</v>
      </c>
      <c r="D30" s="29">
        <v>0</v>
      </c>
      <c r="E30" s="38"/>
      <c r="F30" s="39"/>
      <c r="G30" s="47"/>
      <c r="H30" s="24" t="e">
        <f>(XNPV($O$6,B30:$B$39,A30:$A$39)-B30)*((1+$O$6)^(1/365))</f>
        <v>#REF!</v>
      </c>
      <c r="I30" s="41">
        <f t="shared" si="15"/>
        <v>20000</v>
      </c>
      <c r="J30" s="29">
        <f t="shared" si="16"/>
        <v>6.666666666666667</v>
      </c>
      <c r="K30" s="42" t="e">
        <f t="shared" si="17"/>
        <v>#REF!</v>
      </c>
      <c r="L30" s="33">
        <f t="shared" si="2"/>
        <v>0</v>
      </c>
      <c r="M30" s="28" t="e">
        <f t="shared" si="18"/>
        <v>#REF!</v>
      </c>
      <c r="N30" s="110">
        <f t="shared" ref="N30" si="24">I29*O$4*(A30-A29+1)/360</f>
        <v>6.666666666666667</v>
      </c>
      <c r="O30" s="30" t="e">
        <f t="shared" si="19"/>
        <v>#REF!</v>
      </c>
      <c r="P30" s="43">
        <v>0</v>
      </c>
      <c r="Q30" s="44"/>
      <c r="R30" s="33"/>
      <c r="V30" s="45" t="e">
        <f>N30-#REF!</f>
        <v>#REF!</v>
      </c>
      <c r="W30" s="7" t="e">
        <f>J30-#REF!</f>
        <v>#REF!</v>
      </c>
      <c r="X30" s="7" t="e">
        <f>ROUND((O29+O30),2)</f>
        <v>#REF!</v>
      </c>
      <c r="Y30" s="46" t="s">
        <v>28</v>
      </c>
      <c r="Z30" s="115">
        <v>41233</v>
      </c>
      <c r="AA30" s="128">
        <f t="shared" si="1"/>
        <v>0</v>
      </c>
      <c r="AB30" s="125"/>
      <c r="AC30" s="125"/>
      <c r="AD30" s="129"/>
      <c r="AE30" s="130" t="e">
        <f>(XNPV(AQ$6,AA30:AA$38,Z30:Z$38))</f>
        <v>#REF!</v>
      </c>
      <c r="AF30" s="120" t="e">
        <f t="shared" si="3"/>
        <v>#REF!</v>
      </c>
      <c r="AG30" s="131">
        <f t="shared" si="4"/>
        <v>20000</v>
      </c>
      <c r="AH30" s="131">
        <f t="shared" si="5"/>
        <v>12000</v>
      </c>
      <c r="AI30" s="125">
        <f t="shared" si="6"/>
        <v>6.666666666666667</v>
      </c>
      <c r="AJ30" s="132">
        <f t="shared" si="7"/>
        <v>16.666666666666668</v>
      </c>
      <c r="AK30" s="132">
        <f t="shared" si="8"/>
        <v>422.22222222222223</v>
      </c>
      <c r="AL30" s="132" t="e">
        <f t="shared" si="9"/>
        <v>#REF!</v>
      </c>
      <c r="AM30" s="133" t="e">
        <f t="shared" si="10"/>
        <v>#REF!</v>
      </c>
      <c r="AN30" s="124"/>
      <c r="AO30" s="125">
        <f t="shared" si="11"/>
        <v>6.666666666666667</v>
      </c>
      <c r="AP30" s="131">
        <f t="shared" si="12"/>
        <v>166.66666666666666</v>
      </c>
      <c r="AQ30" s="126" t="e">
        <f t="shared" si="13"/>
        <v>#REF!</v>
      </c>
      <c r="AR30" s="134" t="e">
        <f t="shared" si="14"/>
        <v>#REF!</v>
      </c>
    </row>
    <row r="31" spans="1:44">
      <c r="A31" s="18">
        <f>'[2]2  initial'!A29</f>
        <v>41233</v>
      </c>
      <c r="B31" s="37">
        <f t="shared" si="0"/>
        <v>4017.2222222222222</v>
      </c>
      <c r="C31" s="29">
        <f t="shared" si="23"/>
        <v>4000</v>
      </c>
      <c r="D31" s="29">
        <f>I29*O$4*(A31-A29)/360</f>
        <v>17.222222222222221</v>
      </c>
      <c r="E31" s="38"/>
      <c r="F31" s="39"/>
      <c r="G31" s="47"/>
      <c r="H31" s="24" t="e">
        <f>(XNPV($O$6,B31:$B$39,A31:$A$39)-B31)*((1+$O$6)^(1/365))</f>
        <v>#REF!</v>
      </c>
      <c r="I31" s="41">
        <f t="shared" si="15"/>
        <v>16000</v>
      </c>
      <c r="J31" s="29">
        <f t="shared" si="16"/>
        <v>0</v>
      </c>
      <c r="K31" s="42" t="e">
        <f t="shared" si="17"/>
        <v>#REF!</v>
      </c>
      <c r="L31" s="33">
        <f t="shared" si="2"/>
        <v>0</v>
      </c>
      <c r="M31" s="28" t="e">
        <f t="shared" si="18"/>
        <v>#REF!</v>
      </c>
      <c r="N31" s="110">
        <f t="shared" ref="N31" si="25">I30*O$4*(A31-A30-1)/360</f>
        <v>10.555555555555555</v>
      </c>
      <c r="O31" s="30" t="e">
        <f t="shared" si="19"/>
        <v>#REF!</v>
      </c>
      <c r="P31" s="43">
        <v>0</v>
      </c>
      <c r="Q31" s="44" t="e">
        <f>M31/H29</f>
        <v>#REF!</v>
      </c>
      <c r="R31" s="33"/>
      <c r="S31" s="2">
        <f>N30+N31-D31</f>
        <v>0</v>
      </c>
      <c r="T31" s="7" t="e">
        <f>O31+O30</f>
        <v>#REF!</v>
      </c>
      <c r="U31" s="7" t="e">
        <f>M30+M31</f>
        <v>#REF!</v>
      </c>
      <c r="V31" s="45" t="e">
        <f>N31-#REF!</f>
        <v>#REF!</v>
      </c>
      <c r="W31" s="7" t="e">
        <f>J31-#REF!</f>
        <v>#REF!</v>
      </c>
      <c r="X31" s="7"/>
      <c r="Z31" s="115">
        <v>41243</v>
      </c>
      <c r="AA31" s="128">
        <f t="shared" si="1"/>
        <v>0</v>
      </c>
      <c r="AB31" s="125"/>
      <c r="AC31" s="125"/>
      <c r="AD31" s="129"/>
      <c r="AE31" s="130" t="e">
        <f>(XNPV(AQ$6,AA31:AA$38,Z31:Z$38))</f>
        <v>#REF!</v>
      </c>
      <c r="AF31" s="120" t="e">
        <f t="shared" si="3"/>
        <v>#REF!</v>
      </c>
      <c r="AG31" s="131">
        <f t="shared" si="4"/>
        <v>16000</v>
      </c>
      <c r="AH31" s="131">
        <f t="shared" si="5"/>
        <v>16000</v>
      </c>
      <c r="AI31" s="125">
        <f t="shared" si="6"/>
        <v>0</v>
      </c>
      <c r="AJ31" s="132">
        <f t="shared" si="7"/>
        <v>23.333333333333336</v>
      </c>
      <c r="AK31" s="132">
        <f t="shared" si="8"/>
        <v>505.55555555555554</v>
      </c>
      <c r="AL31" s="132" t="e">
        <f t="shared" si="9"/>
        <v>#REF!</v>
      </c>
      <c r="AM31" s="133" t="e">
        <f t="shared" si="10"/>
        <v>#REF!</v>
      </c>
      <c r="AN31" s="124"/>
      <c r="AO31" s="125">
        <f t="shared" si="11"/>
        <v>10.555555555555555</v>
      </c>
      <c r="AP31" s="131">
        <f t="shared" si="12"/>
        <v>83.333333333333329</v>
      </c>
      <c r="AQ31" s="126" t="e">
        <f t="shared" si="13"/>
        <v>#REF!</v>
      </c>
      <c r="AR31" s="134" t="e">
        <f t="shared" si="14"/>
        <v>#REF!</v>
      </c>
    </row>
    <row r="32" spans="1:44">
      <c r="A32" s="18">
        <f>'[2]2  initial'!A30</f>
        <v>41243</v>
      </c>
      <c r="B32" s="37">
        <f t="shared" si="0"/>
        <v>0</v>
      </c>
      <c r="C32" s="29">
        <f t="shared" si="23"/>
        <v>0</v>
      </c>
      <c r="D32" s="29">
        <v>0</v>
      </c>
      <c r="E32" s="38"/>
      <c r="F32" s="39"/>
      <c r="G32" s="47"/>
      <c r="H32" s="24" t="e">
        <f>(XNPV($O$6,B32:$B$39,A32:$A$39)-B32)*((1+$O$6)^(1/365))</f>
        <v>#REF!</v>
      </c>
      <c r="I32" s="41">
        <f t="shared" si="15"/>
        <v>16000</v>
      </c>
      <c r="J32" s="29">
        <f t="shared" si="16"/>
        <v>4.8888888888888893</v>
      </c>
      <c r="K32" s="42" t="e">
        <f t="shared" si="17"/>
        <v>#REF!</v>
      </c>
      <c r="L32" s="33">
        <f t="shared" si="2"/>
        <v>0</v>
      </c>
      <c r="M32" s="28" t="e">
        <f t="shared" si="18"/>
        <v>#REF!</v>
      </c>
      <c r="N32" s="110">
        <f t="shared" ref="N32" si="26">I31*O$4*(A32-A31+1)/360</f>
        <v>4.8888888888888893</v>
      </c>
      <c r="O32" s="30" t="e">
        <f t="shared" si="19"/>
        <v>#REF!</v>
      </c>
      <c r="P32" s="43">
        <v>0</v>
      </c>
      <c r="Q32" s="44"/>
      <c r="R32" s="33"/>
      <c r="V32" s="45" t="e">
        <f>N32-#REF!</f>
        <v>#REF!</v>
      </c>
      <c r="W32" s="7" t="e">
        <f>J32-#REF!</f>
        <v>#REF!</v>
      </c>
      <c r="X32" s="7" t="e">
        <f>ROUND((O31+O32),2)</f>
        <v>#REF!</v>
      </c>
      <c r="Y32" s="46" t="s">
        <v>28</v>
      </c>
      <c r="Z32" s="115">
        <v>41263</v>
      </c>
      <c r="AA32" s="128">
        <f t="shared" si="1"/>
        <v>0</v>
      </c>
      <c r="AB32" s="125"/>
      <c r="AC32" s="125"/>
      <c r="AD32" s="129"/>
      <c r="AE32" s="130" t="e">
        <f>(XNPV(AQ$6,AA32:AA$38,Z32:Z$38))</f>
        <v>#REF!</v>
      </c>
      <c r="AF32" s="120" t="e">
        <f t="shared" si="3"/>
        <v>#REF!</v>
      </c>
      <c r="AG32" s="131">
        <f t="shared" si="4"/>
        <v>16000</v>
      </c>
      <c r="AH32" s="131">
        <f t="shared" si="5"/>
        <v>16000</v>
      </c>
      <c r="AI32" s="125">
        <f t="shared" si="6"/>
        <v>4.8888888888888893</v>
      </c>
      <c r="AJ32" s="132">
        <f t="shared" si="7"/>
        <v>23.333333333333336</v>
      </c>
      <c r="AK32" s="132">
        <f t="shared" si="8"/>
        <v>727.77777777777783</v>
      </c>
      <c r="AL32" s="132" t="e">
        <f t="shared" si="9"/>
        <v>#REF!</v>
      </c>
      <c r="AM32" s="133" t="e">
        <f t="shared" si="10"/>
        <v>#REF!</v>
      </c>
      <c r="AN32" s="124"/>
      <c r="AO32" s="125">
        <f t="shared" si="11"/>
        <v>4.8888888888888893</v>
      </c>
      <c r="AP32" s="131">
        <f t="shared" si="12"/>
        <v>222.22222222222223</v>
      </c>
      <c r="AQ32" s="126" t="e">
        <f t="shared" si="13"/>
        <v>#REF!</v>
      </c>
      <c r="AR32" s="134" t="e">
        <f t="shared" si="14"/>
        <v>#REF!</v>
      </c>
    </row>
    <row r="33" spans="1:44">
      <c r="A33" s="18">
        <f>'[2]2  initial'!A31</f>
        <v>41263</v>
      </c>
      <c r="B33" s="37">
        <f t="shared" si="0"/>
        <v>4013.3333333333335</v>
      </c>
      <c r="C33" s="29">
        <f t="shared" si="23"/>
        <v>4000</v>
      </c>
      <c r="D33" s="29">
        <f>I31*O$4*(A33-A31)/360</f>
        <v>13.333333333333334</v>
      </c>
      <c r="E33" s="38"/>
      <c r="F33" s="39"/>
      <c r="G33" s="47"/>
      <c r="H33" s="24" t="e">
        <f>(XNPV($O$6,B33:$B$39,A33:$A$39)-B33)*((1+$O$6)^(1/365))</f>
        <v>#REF!</v>
      </c>
      <c r="I33" s="41">
        <f t="shared" si="15"/>
        <v>12000</v>
      </c>
      <c r="J33" s="29">
        <f t="shared" si="16"/>
        <v>0</v>
      </c>
      <c r="K33" s="42" t="e">
        <f t="shared" si="17"/>
        <v>#REF!</v>
      </c>
      <c r="L33" s="33">
        <f t="shared" si="2"/>
        <v>0</v>
      </c>
      <c r="M33" s="28" t="e">
        <f t="shared" si="18"/>
        <v>#REF!</v>
      </c>
      <c r="N33" s="110">
        <f t="shared" ref="N33" si="27">I32*O$4*(A33-A32-1)/360</f>
        <v>8.4444444444444446</v>
      </c>
      <c r="O33" s="30" t="e">
        <f t="shared" si="19"/>
        <v>#REF!</v>
      </c>
      <c r="P33" s="43">
        <v>0</v>
      </c>
      <c r="Q33" s="44" t="e">
        <f>M33/H31</f>
        <v>#REF!</v>
      </c>
      <c r="R33" s="33"/>
      <c r="S33" s="2">
        <f>N32+N33-D33</f>
        <v>0</v>
      </c>
      <c r="T33" s="7" t="e">
        <f>O33+O32</f>
        <v>#REF!</v>
      </c>
      <c r="U33" s="7" t="e">
        <f>M32+M33</f>
        <v>#REF!</v>
      </c>
      <c r="V33" s="45" t="e">
        <f>N33-#REF!</f>
        <v>#REF!</v>
      </c>
      <c r="W33" s="7" t="e">
        <f>J33-#REF!</f>
        <v>#REF!</v>
      </c>
      <c r="X33" s="7"/>
      <c r="Z33" s="115">
        <v>41274</v>
      </c>
      <c r="AA33" s="128">
        <f t="shared" si="1"/>
        <v>0</v>
      </c>
      <c r="AB33" s="125"/>
      <c r="AC33" s="125"/>
      <c r="AD33" s="129"/>
      <c r="AE33" s="130" t="e">
        <f>(XNPV(AQ$6,AA33:AA$38,Z33:Z$38))</f>
        <v>#REF!</v>
      </c>
      <c r="AF33" s="120" t="e">
        <f t="shared" si="3"/>
        <v>#REF!</v>
      </c>
      <c r="AG33" s="131">
        <f t="shared" si="4"/>
        <v>12000</v>
      </c>
      <c r="AH33" s="131">
        <f t="shared" si="5"/>
        <v>20000</v>
      </c>
      <c r="AI33" s="125">
        <f t="shared" si="6"/>
        <v>0</v>
      </c>
      <c r="AJ33" s="132">
        <f t="shared" si="7"/>
        <v>28.222222222222225</v>
      </c>
      <c r="AK33" s="132">
        <f t="shared" si="8"/>
        <v>850</v>
      </c>
      <c r="AL33" s="132" t="e">
        <f t="shared" si="9"/>
        <v>#REF!</v>
      </c>
      <c r="AM33" s="133" t="e">
        <f t="shared" si="10"/>
        <v>#REF!</v>
      </c>
      <c r="AN33" s="124"/>
      <c r="AO33" s="125">
        <f t="shared" si="11"/>
        <v>8.4444444444444446</v>
      </c>
      <c r="AP33" s="131">
        <f t="shared" si="12"/>
        <v>122.22222222222223</v>
      </c>
      <c r="AQ33" s="126" t="e">
        <f t="shared" si="13"/>
        <v>#REF!</v>
      </c>
      <c r="AR33" s="134" t="e">
        <f t="shared" si="14"/>
        <v>#REF!</v>
      </c>
    </row>
    <row r="34" spans="1:44">
      <c r="A34" s="18">
        <f>'[2]2  initial'!A32</f>
        <v>41274</v>
      </c>
      <c r="B34" s="37">
        <f t="shared" si="0"/>
        <v>0</v>
      </c>
      <c r="C34" s="29">
        <f t="shared" si="23"/>
        <v>0</v>
      </c>
      <c r="D34" s="29">
        <v>0</v>
      </c>
      <c r="E34" s="38"/>
      <c r="F34" s="39"/>
      <c r="G34" s="47"/>
      <c r="H34" s="24" t="e">
        <f>(XNPV($O$6,B34:$B$39,A34:$A$39)-B34)*((1+$O$6)^(1/365))</f>
        <v>#REF!</v>
      </c>
      <c r="I34" s="41">
        <f t="shared" si="15"/>
        <v>12000</v>
      </c>
      <c r="J34" s="29">
        <f t="shared" si="16"/>
        <v>4</v>
      </c>
      <c r="K34" s="42" t="e">
        <f t="shared" si="17"/>
        <v>#REF!</v>
      </c>
      <c r="L34" s="33">
        <f t="shared" si="2"/>
        <v>0</v>
      </c>
      <c r="M34" s="28" t="e">
        <f t="shared" si="18"/>
        <v>#REF!</v>
      </c>
      <c r="N34" s="110">
        <f t="shared" ref="N34" si="28">I33*O$4*(A34-A33+1)/360</f>
        <v>4</v>
      </c>
      <c r="O34" s="30" t="e">
        <f t="shared" si="19"/>
        <v>#REF!</v>
      </c>
      <c r="P34" s="43">
        <v>0</v>
      </c>
      <c r="Q34" s="44"/>
      <c r="R34" s="33"/>
      <c r="V34" s="45" t="e">
        <f>N34-#REF!</f>
        <v>#REF!</v>
      </c>
      <c r="W34" s="7" t="e">
        <f>J34-#REF!</f>
        <v>#REF!</v>
      </c>
      <c r="X34" s="7" t="e">
        <f>ROUND((O33+O34),2)</f>
        <v>#REF!</v>
      </c>
      <c r="Y34" s="46" t="s">
        <v>28</v>
      </c>
      <c r="Z34" s="115">
        <v>41294</v>
      </c>
      <c r="AA34" s="128">
        <f t="shared" si="1"/>
        <v>0</v>
      </c>
      <c r="AB34" s="125"/>
      <c r="AC34" s="125"/>
      <c r="AD34" s="129"/>
      <c r="AE34" s="130" t="e">
        <f>(XNPV(AQ$6,AA34:AA$38,Z34:Z$38))</f>
        <v>#REF!</v>
      </c>
      <c r="AF34" s="120" t="e">
        <f t="shared" si="3"/>
        <v>#REF!</v>
      </c>
      <c r="AG34" s="131">
        <f t="shared" si="4"/>
        <v>12000</v>
      </c>
      <c r="AH34" s="131">
        <f t="shared" si="5"/>
        <v>20000</v>
      </c>
      <c r="AI34" s="125">
        <f t="shared" si="6"/>
        <v>4</v>
      </c>
      <c r="AJ34" s="132">
        <f t="shared" si="7"/>
        <v>28.222222222222225</v>
      </c>
      <c r="AK34" s="132">
        <f t="shared" si="8"/>
        <v>1127.7777777777778</v>
      </c>
      <c r="AL34" s="132" t="e">
        <f t="shared" si="9"/>
        <v>#REF!</v>
      </c>
      <c r="AM34" s="133" t="e">
        <f t="shared" si="10"/>
        <v>#REF!</v>
      </c>
      <c r="AN34" s="124"/>
      <c r="AO34" s="125">
        <f t="shared" si="11"/>
        <v>4</v>
      </c>
      <c r="AP34" s="131">
        <f t="shared" si="12"/>
        <v>277.77777777777777</v>
      </c>
      <c r="AQ34" s="126" t="e">
        <f t="shared" si="13"/>
        <v>#REF!</v>
      </c>
      <c r="AR34" s="134" t="e">
        <f t="shared" si="14"/>
        <v>#REF!</v>
      </c>
    </row>
    <row r="35" spans="1:44">
      <c r="A35" s="18">
        <f>'[2]2  initial'!A33</f>
        <v>41294</v>
      </c>
      <c r="B35" s="37">
        <f t="shared" si="0"/>
        <v>4010.3333333333335</v>
      </c>
      <c r="C35" s="29">
        <f t="shared" si="23"/>
        <v>4000</v>
      </c>
      <c r="D35" s="29">
        <f>I33*O$4*(A35-A33)/360</f>
        <v>10.333333333333334</v>
      </c>
      <c r="E35" s="38"/>
      <c r="F35" s="39"/>
      <c r="G35" s="47"/>
      <c r="H35" s="24" t="e">
        <f>(XNPV($O$6,B35:$B$39,A35:$A$39)-B35)*((1+$O$6)^(1/365))</f>
        <v>#REF!</v>
      </c>
      <c r="I35" s="41">
        <f t="shared" si="15"/>
        <v>8000</v>
      </c>
      <c r="J35" s="29">
        <f t="shared" si="16"/>
        <v>0</v>
      </c>
      <c r="K35" s="42" t="e">
        <f t="shared" si="17"/>
        <v>#REF!</v>
      </c>
      <c r="L35" s="33">
        <f t="shared" si="2"/>
        <v>0</v>
      </c>
      <c r="M35" s="28" t="e">
        <f t="shared" si="18"/>
        <v>#REF!</v>
      </c>
      <c r="N35" s="110">
        <f t="shared" ref="N35" si="29">I34*O$4*(A35-A34-1)/360</f>
        <v>6.333333333333333</v>
      </c>
      <c r="O35" s="30" t="e">
        <f t="shared" si="19"/>
        <v>#REF!</v>
      </c>
      <c r="P35" s="43">
        <v>0</v>
      </c>
      <c r="Q35" s="44" t="e">
        <f>M35/H33</f>
        <v>#REF!</v>
      </c>
      <c r="R35" s="33"/>
      <c r="S35" s="2">
        <f>N34+N35-D35</f>
        <v>0</v>
      </c>
      <c r="T35" s="7" t="e">
        <f>O35+O34</f>
        <v>#REF!</v>
      </c>
      <c r="U35" s="7" t="e">
        <f>M34+M35</f>
        <v>#REF!</v>
      </c>
      <c r="V35" s="45" t="e">
        <f>N35-#REF!</f>
        <v>#REF!</v>
      </c>
      <c r="W35" s="7" t="e">
        <f>J35-#REF!</f>
        <v>#REF!</v>
      </c>
      <c r="X35" s="7"/>
      <c r="Z35" s="115">
        <v>41305</v>
      </c>
      <c r="AA35" s="128">
        <f t="shared" si="1"/>
        <v>0</v>
      </c>
      <c r="AB35" s="125"/>
      <c r="AC35" s="125"/>
      <c r="AD35" s="129"/>
      <c r="AE35" s="130" t="e">
        <f>(XNPV(AQ$6,AA35:AA$38,Z35:Z$38))</f>
        <v>#REF!</v>
      </c>
      <c r="AF35" s="120" t="e">
        <f t="shared" si="3"/>
        <v>#REF!</v>
      </c>
      <c r="AG35" s="131">
        <f t="shared" si="4"/>
        <v>8000</v>
      </c>
      <c r="AH35" s="131">
        <f t="shared" si="5"/>
        <v>24000</v>
      </c>
      <c r="AI35" s="125">
        <f t="shared" si="6"/>
        <v>0</v>
      </c>
      <c r="AJ35" s="132">
        <f t="shared" si="7"/>
        <v>32.222222222222229</v>
      </c>
      <c r="AK35" s="132">
        <f t="shared" si="8"/>
        <v>1280.5555555555557</v>
      </c>
      <c r="AL35" s="132" t="e">
        <f t="shared" si="9"/>
        <v>#REF!</v>
      </c>
      <c r="AM35" s="133" t="e">
        <f t="shared" si="10"/>
        <v>#REF!</v>
      </c>
      <c r="AN35" s="124"/>
      <c r="AO35" s="125">
        <f t="shared" si="11"/>
        <v>6.333333333333333</v>
      </c>
      <c r="AP35" s="131">
        <f t="shared" si="12"/>
        <v>152.77777777777777</v>
      </c>
      <c r="AQ35" s="126" t="e">
        <f t="shared" si="13"/>
        <v>#REF!</v>
      </c>
      <c r="AR35" s="134" t="e">
        <f t="shared" si="14"/>
        <v>#REF!</v>
      </c>
    </row>
    <row r="36" spans="1:44">
      <c r="A36" s="18">
        <f>'[2]2  initial'!A34</f>
        <v>41305</v>
      </c>
      <c r="B36" s="37">
        <f t="shared" si="0"/>
        <v>0</v>
      </c>
      <c r="C36" s="29">
        <f t="shared" si="23"/>
        <v>0</v>
      </c>
      <c r="D36" s="29">
        <v>0</v>
      </c>
      <c r="E36" s="38"/>
      <c r="F36" s="39"/>
      <c r="G36" s="47"/>
      <c r="H36" s="24" t="e">
        <f>(XNPV($O$6,B36:$B$39,A36:$A$39)-B36)*((1+$O$6)^(1/365))</f>
        <v>#REF!</v>
      </c>
      <c r="I36" s="41">
        <f t="shared" si="15"/>
        <v>8000</v>
      </c>
      <c r="J36" s="29">
        <f t="shared" si="16"/>
        <v>2.6666666666666665</v>
      </c>
      <c r="K36" s="42" t="e">
        <f t="shared" si="17"/>
        <v>#REF!</v>
      </c>
      <c r="L36" s="33">
        <f t="shared" si="2"/>
        <v>0</v>
      </c>
      <c r="M36" s="28" t="e">
        <f t="shared" si="18"/>
        <v>#REF!</v>
      </c>
      <c r="N36" s="110">
        <f t="shared" ref="N36" si="30">I35*O$4*(A36-A35+1)/360</f>
        <v>2.6666666666666665</v>
      </c>
      <c r="O36" s="30" t="e">
        <f t="shared" si="19"/>
        <v>#REF!</v>
      </c>
      <c r="P36" s="43">
        <v>0</v>
      </c>
      <c r="Q36" s="44"/>
      <c r="R36" s="33"/>
      <c r="V36" s="45" t="e">
        <f>N36-#REF!</f>
        <v>#REF!</v>
      </c>
      <c r="W36" s="7" t="e">
        <f>J36-#REF!</f>
        <v>#REF!</v>
      </c>
      <c r="X36" s="7" t="e">
        <f>ROUND((O35+O36),2)</f>
        <v>#REF!</v>
      </c>
      <c r="Y36" s="46" t="s">
        <v>28</v>
      </c>
      <c r="Z36" s="115">
        <v>41325</v>
      </c>
      <c r="AA36" s="128">
        <f t="shared" si="1"/>
        <v>0</v>
      </c>
      <c r="AB36" s="125"/>
      <c r="AC36" s="125"/>
      <c r="AD36" s="129"/>
      <c r="AE36" s="130" t="e">
        <f>(XNPV(AQ$6,AA36:AA$38,Z36:Z$38))</f>
        <v>#REF!</v>
      </c>
      <c r="AF36" s="120" t="e">
        <f t="shared" si="3"/>
        <v>#REF!</v>
      </c>
      <c r="AG36" s="131">
        <f t="shared" si="4"/>
        <v>8000</v>
      </c>
      <c r="AH36" s="131">
        <f t="shared" si="5"/>
        <v>24000</v>
      </c>
      <c r="AI36" s="125">
        <f t="shared" si="6"/>
        <v>2.6666666666666665</v>
      </c>
      <c r="AJ36" s="132">
        <f t="shared" si="7"/>
        <v>32.222222222222229</v>
      </c>
      <c r="AK36" s="132">
        <f t="shared" si="8"/>
        <v>1613.8888888888889</v>
      </c>
      <c r="AL36" s="132" t="e">
        <f t="shared" si="9"/>
        <v>#REF!</v>
      </c>
      <c r="AM36" s="133" t="e">
        <f t="shared" si="10"/>
        <v>#REF!</v>
      </c>
      <c r="AN36" s="124"/>
      <c r="AO36" s="125">
        <f t="shared" si="11"/>
        <v>2.6666666666666665</v>
      </c>
      <c r="AP36" s="131">
        <f t="shared" si="12"/>
        <v>333.33333333333331</v>
      </c>
      <c r="AQ36" s="126" t="e">
        <f t="shared" si="13"/>
        <v>#REF!</v>
      </c>
      <c r="AR36" s="134" t="e">
        <f t="shared" si="14"/>
        <v>#REF!</v>
      </c>
    </row>
    <row r="37" spans="1:44">
      <c r="A37" s="18">
        <f>'[2]2  initial'!A35</f>
        <v>41325</v>
      </c>
      <c r="B37" s="37">
        <f t="shared" si="0"/>
        <v>4006.8888888888887</v>
      </c>
      <c r="C37" s="29">
        <f t="shared" si="23"/>
        <v>4000</v>
      </c>
      <c r="D37" s="29">
        <f>I35*O$4*(A37-A35)/360</f>
        <v>6.8888888888888893</v>
      </c>
      <c r="E37" s="38"/>
      <c r="F37" s="39"/>
      <c r="G37" s="47"/>
      <c r="H37" s="24" t="e">
        <f>(XNPV($O$6,B37:$B$39,A37:$A$39)-B37)*((1+$O$6)^(1/365))</f>
        <v>#REF!</v>
      </c>
      <c r="I37" s="41">
        <f t="shared" si="15"/>
        <v>4000</v>
      </c>
      <c r="J37" s="29">
        <f t="shared" si="16"/>
        <v>0</v>
      </c>
      <c r="K37" s="42" t="e">
        <f t="shared" si="17"/>
        <v>#REF!</v>
      </c>
      <c r="L37" s="33">
        <f t="shared" si="2"/>
        <v>0</v>
      </c>
      <c r="M37" s="28" t="e">
        <f t="shared" si="18"/>
        <v>#REF!</v>
      </c>
      <c r="N37" s="110">
        <f t="shared" ref="N37" si="31">I36*O$4*(A37-A36-1)/360</f>
        <v>4.2222222222222223</v>
      </c>
      <c r="O37" s="30" t="e">
        <f t="shared" si="19"/>
        <v>#REF!</v>
      </c>
      <c r="P37" s="43">
        <v>0</v>
      </c>
      <c r="Q37" s="44" t="e">
        <f>M37/H35</f>
        <v>#REF!</v>
      </c>
      <c r="R37" s="33"/>
      <c r="S37" s="2">
        <f>N36+N37-D37</f>
        <v>0</v>
      </c>
      <c r="T37" s="7" t="e">
        <f>O37+O36</f>
        <v>#REF!</v>
      </c>
      <c r="U37" s="7" t="e">
        <f>M36+M37</f>
        <v>#REF!</v>
      </c>
      <c r="V37" s="45" t="e">
        <f>N37-#REF!</f>
        <v>#REF!</v>
      </c>
      <c r="W37" s="7" t="e">
        <f>J37-#REF!</f>
        <v>#REF!</v>
      </c>
      <c r="X37" s="7"/>
      <c r="Z37" s="115">
        <v>41333</v>
      </c>
      <c r="AA37" s="128">
        <f t="shared" si="1"/>
        <v>0</v>
      </c>
      <c r="AB37" s="125"/>
      <c r="AC37" s="125"/>
      <c r="AD37" s="129"/>
      <c r="AE37" s="130" t="e">
        <f>(XNPV(AQ$6,AA37:AA$38,Z37:Z$38))</f>
        <v>#REF!</v>
      </c>
      <c r="AF37" s="120" t="e">
        <f t="shared" si="3"/>
        <v>#REF!</v>
      </c>
      <c r="AG37" s="131">
        <f t="shared" si="4"/>
        <v>4000</v>
      </c>
      <c r="AH37" s="131">
        <f t="shared" si="5"/>
        <v>28000</v>
      </c>
      <c r="AI37" s="125">
        <f t="shared" si="6"/>
        <v>0</v>
      </c>
      <c r="AJ37" s="132">
        <f t="shared" si="7"/>
        <v>34.888888888888893</v>
      </c>
      <c r="AK37" s="132">
        <f>AK36+AP37</f>
        <v>1747.2222222222222</v>
      </c>
      <c r="AL37" s="132" t="e">
        <f t="shared" si="9"/>
        <v>#REF!</v>
      </c>
      <c r="AM37" s="133" t="e">
        <f t="shared" si="10"/>
        <v>#REF!</v>
      </c>
      <c r="AN37" s="124"/>
      <c r="AO37" s="125">
        <f t="shared" si="11"/>
        <v>4.2222222222222223</v>
      </c>
      <c r="AP37" s="131">
        <f t="shared" si="12"/>
        <v>133.33333333333334</v>
      </c>
      <c r="AQ37" s="126" t="e">
        <f t="shared" si="13"/>
        <v>#REF!</v>
      </c>
      <c r="AR37" s="134" t="e">
        <f t="shared" si="14"/>
        <v>#REF!</v>
      </c>
    </row>
    <row r="38" spans="1:44" ht="15.75" thickBot="1">
      <c r="A38" s="18">
        <f>'[2]2  initial'!A36</f>
        <v>41333</v>
      </c>
      <c r="B38" s="37">
        <f t="shared" si="0"/>
        <v>0</v>
      </c>
      <c r="C38" s="29">
        <f t="shared" si="23"/>
        <v>0</v>
      </c>
      <c r="D38" s="29">
        <v>0</v>
      </c>
      <c r="E38" s="38"/>
      <c r="F38" s="39"/>
      <c r="G38" s="47"/>
      <c r="H38" s="24" t="e">
        <f>(XNPV($O$6,B38:$B$39,A38:$A$39)-B38)*((1+$O$6)^(1/365))</f>
        <v>#REF!</v>
      </c>
      <c r="I38" s="41">
        <f t="shared" si="15"/>
        <v>4000</v>
      </c>
      <c r="J38" s="29">
        <f t="shared" si="16"/>
        <v>1</v>
      </c>
      <c r="K38" s="42" t="e">
        <f t="shared" si="17"/>
        <v>#REF!</v>
      </c>
      <c r="L38" s="33">
        <f t="shared" si="2"/>
        <v>0</v>
      </c>
      <c r="M38" s="28" t="e">
        <f t="shared" si="18"/>
        <v>#REF!</v>
      </c>
      <c r="N38" s="110">
        <f t="shared" ref="N38" si="32">I37*O$4*(A38-A37+1)/360</f>
        <v>1</v>
      </c>
      <c r="O38" s="30" t="e">
        <f t="shared" si="19"/>
        <v>#REF!</v>
      </c>
      <c r="P38" s="43">
        <v>0</v>
      </c>
      <c r="Q38" s="44"/>
      <c r="R38" s="33"/>
      <c r="V38" s="45" t="e">
        <f>N38-#REF!</f>
        <v>#REF!</v>
      </c>
      <c r="W38" s="7" t="e">
        <f>J38-#REF!</f>
        <v>#REF!</v>
      </c>
      <c r="X38" s="7" t="e">
        <f>ROUND((O37+O38),2)</f>
        <v>#REF!</v>
      </c>
      <c r="Y38" s="46" t="s">
        <v>28</v>
      </c>
      <c r="Z38" s="115">
        <v>41350</v>
      </c>
      <c r="AA38" s="128">
        <f t="shared" si="1"/>
        <v>29016.666000000001</v>
      </c>
      <c r="AB38" s="125">
        <f>40000*0.6</f>
        <v>24000</v>
      </c>
      <c r="AC38" s="125">
        <f>(3694.44+4666.67)*0.6</f>
        <v>5016.6660000000002</v>
      </c>
      <c r="AD38" s="129"/>
      <c r="AE38" s="130" t="e">
        <f>(XNPV(AQ$6,AA38:AA$38,Z38:Z$38))</f>
        <v>#REF!</v>
      </c>
      <c r="AF38" s="120" t="e">
        <f t="shared" si="3"/>
        <v>#REF!</v>
      </c>
      <c r="AG38" s="131">
        <f t="shared" si="4"/>
        <v>4000</v>
      </c>
      <c r="AH38" s="131">
        <v>0</v>
      </c>
      <c r="AI38" s="125">
        <f t="shared" si="6"/>
        <v>1</v>
      </c>
      <c r="AJ38" s="132">
        <v>0</v>
      </c>
      <c r="AK38" s="132">
        <v>0</v>
      </c>
      <c r="AL38" s="132" t="e">
        <f t="shared" si="9"/>
        <v>#REF!</v>
      </c>
      <c r="AM38" s="133">
        <v>0</v>
      </c>
      <c r="AN38" s="124"/>
      <c r="AO38" s="125">
        <f t="shared" si="11"/>
        <v>1</v>
      </c>
      <c r="AP38" s="131">
        <f t="shared" si="12"/>
        <v>330.55555555555554</v>
      </c>
      <c r="AQ38" s="126" t="e">
        <f t="shared" si="13"/>
        <v>#REF!</v>
      </c>
      <c r="AR38" s="134" t="e">
        <f t="shared" si="14"/>
        <v>#REF!</v>
      </c>
    </row>
    <row r="39" spans="1:44" ht="16.5" thickTop="1" thickBot="1">
      <c r="A39" s="18">
        <f>'[2]2  initial'!A37</f>
        <v>41350</v>
      </c>
      <c r="B39" s="37">
        <f t="shared" si="0"/>
        <v>4002.7777777777778</v>
      </c>
      <c r="C39" s="29">
        <v>4000</v>
      </c>
      <c r="D39" s="29">
        <f>I37*O$4*(A39-A37)/360</f>
        <v>2.7777777777777777</v>
      </c>
      <c r="E39" s="38"/>
      <c r="F39" s="39"/>
      <c r="G39" s="47"/>
      <c r="H39" s="24" t="e">
        <f>(XNPV($O$6,B39:$B$39,A39:$A$39)-B39)*((1+$O$6)^(1/365))</f>
        <v>#REF!</v>
      </c>
      <c r="I39" s="41">
        <f t="shared" si="15"/>
        <v>0</v>
      </c>
      <c r="J39" s="29">
        <f t="shared" si="16"/>
        <v>0</v>
      </c>
      <c r="K39" s="42" t="e">
        <f t="shared" si="17"/>
        <v>#REF!</v>
      </c>
      <c r="L39" s="33">
        <f t="shared" si="2"/>
        <v>0</v>
      </c>
      <c r="M39" s="28" t="e">
        <f t="shared" si="18"/>
        <v>#REF!</v>
      </c>
      <c r="N39" s="110">
        <f t="shared" ref="N39" si="33">I38*O$4*(A39-A38-1)/360</f>
        <v>1.7777777777777777</v>
      </c>
      <c r="O39" s="30" t="e">
        <f t="shared" si="19"/>
        <v>#REF!</v>
      </c>
      <c r="P39" s="43">
        <v>0</v>
      </c>
      <c r="Q39" s="44" t="e">
        <f>M39/H37</f>
        <v>#REF!</v>
      </c>
      <c r="R39" s="33"/>
      <c r="S39" s="2">
        <f>N38+N39-D39</f>
        <v>0</v>
      </c>
      <c r="T39" s="7" t="e">
        <f>O39+O38</f>
        <v>#REF!</v>
      </c>
      <c r="U39" s="7" t="e">
        <f>M38+M39</f>
        <v>#REF!</v>
      </c>
      <c r="V39" s="45" t="e">
        <f>N39-#REF!</f>
        <v>#REF!</v>
      </c>
      <c r="W39" s="7" t="e">
        <f>J39-#REF!</f>
        <v>#REF!</v>
      </c>
      <c r="X39" s="7"/>
      <c r="Z39" s="135" t="s">
        <v>29</v>
      </c>
      <c r="AA39" s="136">
        <f>SUM(AA15:AA38)</f>
        <v>29016.666000000001</v>
      </c>
      <c r="AB39" s="136">
        <f>SUM(AB15:AB38)</f>
        <v>24000</v>
      </c>
      <c r="AC39" s="136">
        <f>SUM(AC15:AC38)</f>
        <v>5016.6660000000002</v>
      </c>
      <c r="AD39" s="137" t="s">
        <v>30</v>
      </c>
      <c r="AE39" s="138" t="s">
        <v>30</v>
      </c>
      <c r="AF39" s="139" t="s">
        <v>30</v>
      </c>
      <c r="AG39" s="140" t="s">
        <v>30</v>
      </c>
      <c r="AH39" s="140"/>
      <c r="AI39" s="141" t="s">
        <v>30</v>
      </c>
      <c r="AJ39" s="142"/>
      <c r="AK39" s="142"/>
      <c r="AL39" s="142" t="s">
        <v>30</v>
      </c>
      <c r="AM39" s="140" t="s">
        <v>30</v>
      </c>
      <c r="AN39" s="143"/>
      <c r="AO39" s="144">
        <f>SUM(AO13:AO38)</f>
        <v>1653.3333333333335</v>
      </c>
      <c r="AP39" s="144">
        <f>SUM(AP13:AP38)</f>
        <v>2222.2222222222222</v>
      </c>
      <c r="AQ39" s="145" t="e">
        <f>SUM(AQ13:AQ38)</f>
        <v>#REF!</v>
      </c>
      <c r="AR39" s="146" t="e">
        <f>SUM(AR16:AR38)</f>
        <v>#REF!</v>
      </c>
    </row>
    <row r="40" spans="1:44" ht="16.5" thickTop="1" thickBot="1">
      <c r="A40" s="48" t="s">
        <v>29</v>
      </c>
      <c r="B40" s="49" t="e">
        <f>SUM(B15:B39)</f>
        <v>#REF!</v>
      </c>
      <c r="C40" s="49">
        <f>SUM(C15:C39)</f>
        <v>32000</v>
      </c>
      <c r="D40" s="49">
        <f>SUM(D15:D39)</f>
        <v>378.22555555555556</v>
      </c>
      <c r="E40" s="50" t="s">
        <v>30</v>
      </c>
      <c r="F40" s="51" t="s">
        <v>30</v>
      </c>
      <c r="G40" s="52"/>
      <c r="H40" s="53" t="s">
        <v>30</v>
      </c>
      <c r="I40" s="54" t="s">
        <v>30</v>
      </c>
      <c r="J40" s="55" t="s">
        <v>30</v>
      </c>
      <c r="K40" s="56" t="s">
        <v>30</v>
      </c>
      <c r="L40" s="54" t="s">
        <v>30</v>
      </c>
      <c r="M40" s="57" t="e">
        <f>SUM(M24:M39)</f>
        <v>#REF!</v>
      </c>
      <c r="N40" s="58">
        <f>SUM(N24:N39)</f>
        <v>111.55555555555559</v>
      </c>
      <c r="O40" s="58" t="e">
        <f>SUM(O24:O39)</f>
        <v>#REF!</v>
      </c>
      <c r="P40" s="60">
        <f>SUM(P16:P39)</f>
        <v>0</v>
      </c>
      <c r="Q40" s="61" t="s">
        <v>24</v>
      </c>
      <c r="R40" s="33"/>
      <c r="S40" s="62">
        <f>SUM(S13:S39)</f>
        <v>-267.55888888888893</v>
      </c>
      <c r="X40" s="7"/>
      <c r="AM40" s="7"/>
    </row>
    <row r="41" spans="1:44">
      <c r="C41" s="7"/>
      <c r="D41" s="7"/>
      <c r="N41" s="93">
        <f>D40-N40</f>
        <v>266.66999999999996</v>
      </c>
      <c r="O41" s="94"/>
      <c r="P41" s="65"/>
    </row>
    <row r="42" spans="1:44">
      <c r="N42" s="66"/>
      <c r="O42" s="66"/>
      <c r="P42" s="65"/>
    </row>
    <row r="43" spans="1:44">
      <c r="H43" s="175"/>
      <c r="K43" s="7"/>
      <c r="N43" s="66"/>
      <c r="O43" s="66"/>
      <c r="P43" s="65"/>
    </row>
    <row r="44" spans="1:44" ht="15.75" thickBot="1">
      <c r="N44" s="65"/>
      <c r="O44" s="65"/>
      <c r="P44" s="65"/>
    </row>
    <row r="45" spans="1:44" ht="15.75" thickBot="1">
      <c r="E45" s="67"/>
      <c r="G45" s="68" t="e">
        <f>#REF!-#REF!</f>
        <v>#REF!</v>
      </c>
      <c r="N45" s="65"/>
      <c r="O45" s="65"/>
      <c r="P45" s="65"/>
    </row>
    <row r="46" spans="1:44">
      <c r="G46" s="45" t="e">
        <f>ROUND(NPV(#REF!,#REF!),0)-ROUND(NPV(#REF!,#REF!),0)</f>
        <v>#REF!</v>
      </c>
    </row>
    <row r="47" spans="1:44">
      <c r="G47" s="45" t="e">
        <f>ROUND(NPV(#REF!,#REF!)-NPV(#REF!,#REF!),0)</f>
        <v>#REF!</v>
      </c>
    </row>
    <row r="48" spans="1:44">
      <c r="G48" s="45"/>
      <c r="S48"/>
    </row>
  </sheetData>
  <mergeCells count="49">
    <mergeCell ref="AI11:AI12"/>
    <mergeCell ref="AJ11:AJ12"/>
    <mergeCell ref="AK11:AK12"/>
    <mergeCell ref="AR11:AR12"/>
    <mergeCell ref="Z9:Z12"/>
    <mergeCell ref="AA9:AD10"/>
    <mergeCell ref="AE9:AE12"/>
    <mergeCell ref="AF9:AM10"/>
    <mergeCell ref="AB11:AB12"/>
    <mergeCell ref="AC11:AC12"/>
    <mergeCell ref="AD11:AD12"/>
    <mergeCell ref="AF11:AF12"/>
    <mergeCell ref="AG11:AG12"/>
    <mergeCell ref="AH11:AH12"/>
    <mergeCell ref="AL11:AL12"/>
    <mergeCell ref="AM11:AM12"/>
    <mergeCell ref="AR9:AR10"/>
    <mergeCell ref="C11:C12"/>
    <mergeCell ref="D11:D12"/>
    <mergeCell ref="E11:E12"/>
    <mergeCell ref="G11:G12"/>
    <mergeCell ref="H11:H12"/>
    <mergeCell ref="I11:I12"/>
    <mergeCell ref="J11:J12"/>
    <mergeCell ref="Q9:Q12"/>
    <mergeCell ref="X9:Y12"/>
    <mergeCell ref="P9:P10"/>
    <mergeCell ref="AO11:AO12"/>
    <mergeCell ref="AP11:AP12"/>
    <mergeCell ref="AQ11:AQ12"/>
    <mergeCell ref="P11:P12"/>
    <mergeCell ref="AN9:AQ10"/>
    <mergeCell ref="A9:A12"/>
    <mergeCell ref="B9:E10"/>
    <mergeCell ref="F9:F12"/>
    <mergeCell ref="H9:L10"/>
    <mergeCell ref="M9:O10"/>
    <mergeCell ref="K11:K12"/>
    <mergeCell ref="L11:L12"/>
    <mergeCell ref="N11:N12"/>
    <mergeCell ref="O11:O12"/>
    <mergeCell ref="A1:O1"/>
    <mergeCell ref="Z1:AQ1"/>
    <mergeCell ref="B2:D2"/>
    <mergeCell ref="H2:L2"/>
    <mergeCell ref="N2:P2"/>
    <mergeCell ref="AA2:AC2"/>
    <mergeCell ref="AF2:AM2"/>
    <mergeCell ref="AO2:AR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R46"/>
  <sheetViews>
    <sheetView topLeftCell="O1" workbookViewId="0">
      <selection activeCell="E26" sqref="E26"/>
    </sheetView>
  </sheetViews>
  <sheetFormatPr defaultRowHeight="15"/>
  <cols>
    <col min="1" max="1" width="12" customWidth="1"/>
    <col min="2" max="3" width="14.7109375" customWidth="1"/>
    <col min="4" max="4" width="13.140625" customWidth="1"/>
    <col min="5" max="5" width="10" customWidth="1"/>
    <col min="6" max="6" width="9.42578125" hidden="1" customWidth="1"/>
    <col min="7" max="7" width="13.85546875" hidden="1" customWidth="1"/>
    <col min="8" max="8" width="13.5703125" customWidth="1"/>
    <col min="9" max="9" width="12.7109375" customWidth="1"/>
    <col min="10" max="10" width="13.42578125" customWidth="1"/>
    <col min="11" max="11" width="12.7109375" customWidth="1"/>
    <col min="12" max="12" width="9.28515625" hidden="1" customWidth="1"/>
    <col min="13" max="13" width="12.28515625" customWidth="1"/>
    <col min="14" max="14" width="15.42578125" customWidth="1"/>
    <col min="15" max="15" width="14.140625" customWidth="1"/>
    <col min="16" max="16" width="11.42578125" hidden="1" customWidth="1"/>
    <col min="17" max="17" width="11.28515625" hidden="1" customWidth="1"/>
    <col min="18" max="18" width="0.7109375" customWidth="1"/>
    <col min="19" max="19" width="12.140625" style="2" hidden="1" customWidth="1"/>
    <col min="20" max="21" width="0" hidden="1" customWidth="1"/>
    <col min="22" max="22" width="11.28515625" hidden="1" customWidth="1"/>
    <col min="23" max="24" width="0" hidden="1" customWidth="1"/>
    <col min="25" max="25" width="49.28515625" hidden="1" customWidth="1"/>
    <col min="26" max="26" width="11.28515625" customWidth="1"/>
    <col min="27" max="28" width="9.85546875" bestFit="1" customWidth="1"/>
    <col min="34" max="34" width="10" customWidth="1"/>
    <col min="35" max="36" width="13.42578125" customWidth="1"/>
    <col min="37" max="37" width="15.28515625" customWidth="1"/>
    <col min="38" max="38" width="12.28515625" customWidth="1"/>
    <col min="39" max="39" width="9.85546875" bestFit="1" customWidth="1"/>
    <col min="41" max="41" width="17.7109375" customWidth="1"/>
    <col min="42" max="42" width="18" customWidth="1"/>
    <col min="44" max="44" width="9.85546875" bestFit="1" customWidth="1"/>
  </cols>
  <sheetData>
    <row r="1" spans="1:44">
      <c r="A1" s="242" t="s">
        <v>31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Z1" s="242" t="s">
        <v>32</v>
      </c>
      <c r="AA1" s="242"/>
      <c r="AB1" s="242"/>
      <c r="AC1" s="242"/>
      <c r="AD1" s="242"/>
      <c r="AE1" s="242"/>
      <c r="AF1" s="242"/>
      <c r="AG1" s="242"/>
      <c r="AH1" s="242"/>
      <c r="AI1" s="242"/>
      <c r="AJ1" s="242"/>
      <c r="AK1" s="242"/>
      <c r="AL1" s="242"/>
      <c r="AM1" s="242"/>
      <c r="AN1" s="242"/>
      <c r="AO1" s="242"/>
      <c r="AP1" s="242"/>
      <c r="AQ1" s="242"/>
    </row>
    <row r="2" spans="1:44">
      <c r="B2" s="199"/>
      <c r="C2" s="199"/>
      <c r="D2" s="199"/>
      <c r="H2" s="199"/>
      <c r="I2" s="199"/>
      <c r="J2" s="199"/>
      <c r="K2" s="199"/>
      <c r="L2" s="199"/>
      <c r="N2" s="199" t="s">
        <v>0</v>
      </c>
      <c r="O2" s="199"/>
      <c r="P2" s="199"/>
      <c r="Q2" s="1"/>
      <c r="AA2" s="199"/>
      <c r="AB2" s="199"/>
      <c r="AC2" s="199"/>
      <c r="AF2" s="199"/>
      <c r="AG2" s="199"/>
      <c r="AH2" s="199"/>
      <c r="AI2" s="199"/>
      <c r="AJ2" s="199"/>
      <c r="AK2" s="199"/>
      <c r="AL2" s="199"/>
      <c r="AM2" s="199"/>
      <c r="AO2" s="199" t="s">
        <v>0</v>
      </c>
      <c r="AP2" s="199"/>
      <c r="AQ2" s="199"/>
      <c r="AR2" s="199"/>
    </row>
    <row r="3" spans="1:44" ht="4.5" customHeight="1"/>
    <row r="4" spans="1:44">
      <c r="B4" s="3"/>
      <c r="N4" s="3" t="s">
        <v>1</v>
      </c>
      <c r="O4" s="4">
        <v>0.25</v>
      </c>
      <c r="AA4" s="3"/>
      <c r="AO4" s="3" t="s">
        <v>1</v>
      </c>
      <c r="AP4" s="3"/>
      <c r="AQ4" s="4">
        <v>0.25</v>
      </c>
    </row>
    <row r="5" spans="1:44" ht="4.5" customHeight="1">
      <c r="B5" s="3"/>
      <c r="AA5" s="3"/>
    </row>
    <row r="6" spans="1:44">
      <c r="B6" s="3"/>
      <c r="N6" s="3" t="s">
        <v>2</v>
      </c>
      <c r="O6" s="4">
        <f>XIRR(B13:B37,A13:A37)</f>
        <v>0.31053376793861398</v>
      </c>
      <c r="S6" s="5"/>
      <c r="T6" s="6"/>
      <c r="AA6" s="3"/>
      <c r="AO6" s="3" t="s">
        <v>2</v>
      </c>
      <c r="AP6" s="3"/>
      <c r="AQ6" s="4">
        <f>O6</f>
        <v>0.31053376793861398</v>
      </c>
    </row>
    <row r="7" spans="1:44" ht="4.5" customHeight="1">
      <c r="B7" s="3"/>
      <c r="AA7" s="3"/>
    </row>
    <row r="8" spans="1:44" ht="15.75" thickBot="1">
      <c r="C8" s="7"/>
      <c r="D8" s="7"/>
      <c r="H8" s="7"/>
      <c r="I8" s="7"/>
      <c r="AB8" s="7"/>
      <c r="AC8" s="7"/>
      <c r="AF8" s="7"/>
      <c r="AG8" s="7"/>
      <c r="AH8" s="7"/>
    </row>
    <row r="9" spans="1:44" ht="13.5" customHeight="1" thickTop="1">
      <c r="A9" s="200" t="s">
        <v>3</v>
      </c>
      <c r="B9" s="203" t="s">
        <v>4</v>
      </c>
      <c r="C9" s="204"/>
      <c r="D9" s="204"/>
      <c r="E9" s="205"/>
      <c r="F9" s="209" t="s">
        <v>5</v>
      </c>
      <c r="G9" s="8"/>
      <c r="H9" s="212" t="s">
        <v>6</v>
      </c>
      <c r="I9" s="213"/>
      <c r="J9" s="213"/>
      <c r="K9" s="213"/>
      <c r="L9" s="214"/>
      <c r="M9" s="218" t="s">
        <v>7</v>
      </c>
      <c r="N9" s="219"/>
      <c r="O9" s="220"/>
      <c r="P9" s="224" t="s">
        <v>8</v>
      </c>
      <c r="Q9" s="232" t="s">
        <v>9</v>
      </c>
      <c r="R9" s="9"/>
      <c r="X9" s="235" t="s">
        <v>10</v>
      </c>
      <c r="Y9" s="235"/>
      <c r="Z9" s="243" t="s">
        <v>3</v>
      </c>
      <c r="AA9" s="246" t="s">
        <v>4</v>
      </c>
      <c r="AB9" s="247"/>
      <c r="AC9" s="247"/>
      <c r="AD9" s="248"/>
      <c r="AE9" s="252" t="s">
        <v>5</v>
      </c>
      <c r="AF9" s="255" t="s">
        <v>42</v>
      </c>
      <c r="AG9" s="256"/>
      <c r="AH9" s="256"/>
      <c r="AI9" s="256"/>
      <c r="AJ9" s="256"/>
      <c r="AK9" s="256"/>
      <c r="AL9" s="256"/>
      <c r="AM9" s="257"/>
      <c r="AN9" s="271" t="s">
        <v>7</v>
      </c>
      <c r="AO9" s="272"/>
      <c r="AP9" s="272"/>
      <c r="AQ9" s="273"/>
      <c r="AR9" s="281" t="s">
        <v>41</v>
      </c>
    </row>
    <row r="10" spans="1:44" ht="13.5" customHeight="1">
      <c r="A10" s="201"/>
      <c r="B10" s="206"/>
      <c r="C10" s="207"/>
      <c r="D10" s="207"/>
      <c r="E10" s="208"/>
      <c r="F10" s="210"/>
      <c r="G10" s="10"/>
      <c r="H10" s="215"/>
      <c r="I10" s="216"/>
      <c r="J10" s="216"/>
      <c r="K10" s="216"/>
      <c r="L10" s="217"/>
      <c r="M10" s="221"/>
      <c r="N10" s="222"/>
      <c r="O10" s="223"/>
      <c r="P10" s="225"/>
      <c r="Q10" s="233"/>
      <c r="R10" s="9"/>
      <c r="S10" s="11"/>
      <c r="X10" s="235"/>
      <c r="Y10" s="235"/>
      <c r="Z10" s="244"/>
      <c r="AA10" s="249"/>
      <c r="AB10" s="250"/>
      <c r="AC10" s="250"/>
      <c r="AD10" s="251"/>
      <c r="AE10" s="253"/>
      <c r="AF10" s="258"/>
      <c r="AG10" s="259"/>
      <c r="AH10" s="259"/>
      <c r="AI10" s="259"/>
      <c r="AJ10" s="259"/>
      <c r="AK10" s="259"/>
      <c r="AL10" s="259"/>
      <c r="AM10" s="260"/>
      <c r="AN10" s="274"/>
      <c r="AO10" s="275"/>
      <c r="AP10" s="275"/>
      <c r="AQ10" s="276"/>
      <c r="AR10" s="270"/>
    </row>
    <row r="11" spans="1:44" ht="13.5" customHeight="1">
      <c r="A11" s="201"/>
      <c r="B11" s="12"/>
      <c r="C11" s="228" t="s">
        <v>11</v>
      </c>
      <c r="D11" s="228" t="s">
        <v>12</v>
      </c>
      <c r="E11" s="230" t="s">
        <v>13</v>
      </c>
      <c r="F11" s="210"/>
      <c r="G11" s="210" t="s">
        <v>5</v>
      </c>
      <c r="H11" s="236" t="s">
        <v>14</v>
      </c>
      <c r="I11" s="228" t="s">
        <v>11</v>
      </c>
      <c r="J11" s="228" t="s">
        <v>15</v>
      </c>
      <c r="K11" s="228" t="s">
        <v>16</v>
      </c>
      <c r="L11" s="226" t="s">
        <v>17</v>
      </c>
      <c r="M11" s="13"/>
      <c r="N11" s="228" t="s">
        <v>18</v>
      </c>
      <c r="O11" s="238" t="s">
        <v>19</v>
      </c>
      <c r="P11" s="240" t="s">
        <v>20</v>
      </c>
      <c r="Q11" s="233"/>
      <c r="R11" s="9"/>
      <c r="S11" s="14"/>
      <c r="X11" s="235"/>
      <c r="Y11" s="235"/>
      <c r="Z11" s="244"/>
      <c r="AA11" s="111"/>
      <c r="AB11" s="261" t="s">
        <v>11</v>
      </c>
      <c r="AC11" s="261" t="s">
        <v>12</v>
      </c>
      <c r="AD11" s="263" t="s">
        <v>13</v>
      </c>
      <c r="AE11" s="253"/>
      <c r="AF11" s="265" t="s">
        <v>14</v>
      </c>
      <c r="AG11" s="261" t="s">
        <v>33</v>
      </c>
      <c r="AH11" s="261" t="s">
        <v>34</v>
      </c>
      <c r="AI11" s="261" t="s">
        <v>39</v>
      </c>
      <c r="AJ11" s="261" t="s">
        <v>40</v>
      </c>
      <c r="AK11" s="261" t="s">
        <v>35</v>
      </c>
      <c r="AL11" s="261" t="s">
        <v>16</v>
      </c>
      <c r="AM11" s="277" t="s">
        <v>36</v>
      </c>
      <c r="AN11" s="112"/>
      <c r="AO11" s="261" t="s">
        <v>37</v>
      </c>
      <c r="AP11" s="261" t="s">
        <v>38</v>
      </c>
      <c r="AQ11" s="279" t="s">
        <v>19</v>
      </c>
      <c r="AR11" s="267" t="s">
        <v>36</v>
      </c>
    </row>
    <row r="12" spans="1:44" ht="66.75" customHeight="1" thickBot="1">
      <c r="A12" s="202"/>
      <c r="B12" s="15" t="s">
        <v>14</v>
      </c>
      <c r="C12" s="229"/>
      <c r="D12" s="229"/>
      <c r="E12" s="231"/>
      <c r="F12" s="211"/>
      <c r="G12" s="211"/>
      <c r="H12" s="237"/>
      <c r="I12" s="229"/>
      <c r="J12" s="229"/>
      <c r="K12" s="229"/>
      <c r="L12" s="227"/>
      <c r="M12" s="16" t="s">
        <v>21</v>
      </c>
      <c r="N12" s="229"/>
      <c r="O12" s="239"/>
      <c r="P12" s="241"/>
      <c r="Q12" s="234"/>
      <c r="R12" s="17"/>
      <c r="V12" t="s">
        <v>22</v>
      </c>
      <c r="W12" t="s">
        <v>23</v>
      </c>
      <c r="X12" s="235"/>
      <c r="Y12" s="235"/>
      <c r="Z12" s="245"/>
      <c r="AA12" s="113" t="s">
        <v>14</v>
      </c>
      <c r="AB12" s="262"/>
      <c r="AC12" s="262"/>
      <c r="AD12" s="264"/>
      <c r="AE12" s="254"/>
      <c r="AF12" s="266"/>
      <c r="AG12" s="262"/>
      <c r="AH12" s="262"/>
      <c r="AI12" s="262"/>
      <c r="AJ12" s="262"/>
      <c r="AK12" s="262"/>
      <c r="AL12" s="262"/>
      <c r="AM12" s="278"/>
      <c r="AN12" s="114" t="s">
        <v>14</v>
      </c>
      <c r="AO12" s="262"/>
      <c r="AP12" s="262"/>
      <c r="AQ12" s="280"/>
      <c r="AR12" s="268"/>
    </row>
    <row r="13" spans="1:44" ht="16.5" thickTop="1" thickBot="1">
      <c r="A13" s="18">
        <v>40985</v>
      </c>
      <c r="B13" s="19">
        <f>C13+E13</f>
        <v>-47520</v>
      </c>
      <c r="C13" s="20">
        <v>-48000</v>
      </c>
      <c r="D13" s="20"/>
      <c r="E13" s="21">
        <v>480</v>
      </c>
      <c r="F13" s="22">
        <f>NPV($O$6,B16:B$37)</f>
        <v>6690.163084583769</v>
      </c>
      <c r="G13" s="23"/>
      <c r="H13" s="24">
        <f>(XNPV($O$6,B13:$B$37,A13:$A$37)-B13)*(1+O6)^(1/365)</f>
        <v>47555.22140259845</v>
      </c>
      <c r="I13" s="25">
        <f>C13*(-1)</f>
        <v>48000</v>
      </c>
      <c r="J13" s="20">
        <f>I13*O4*1/360</f>
        <v>33.333333333333336</v>
      </c>
      <c r="K13" s="26">
        <f>-E13+O13</f>
        <v>-478.11193073488295</v>
      </c>
      <c r="L13" s="27" t="s">
        <v>24</v>
      </c>
      <c r="M13" s="28">
        <f>H13+B13</f>
        <v>35.221402598450368</v>
      </c>
      <c r="N13" s="29">
        <f>J13</f>
        <v>33.333333333333336</v>
      </c>
      <c r="O13" s="30">
        <f>M13-N13</f>
        <v>1.8880692651170321</v>
      </c>
      <c r="P13" s="31" t="s">
        <v>24</v>
      </c>
      <c r="Q13" s="32" t="s">
        <v>24</v>
      </c>
      <c r="R13" s="33"/>
      <c r="S13" s="2">
        <f>N12+N13-D13</f>
        <v>33.333333333333336</v>
      </c>
      <c r="U13" s="34"/>
      <c r="X13" s="35" t="s">
        <v>25</v>
      </c>
      <c r="Y13" s="36" t="s">
        <v>26</v>
      </c>
      <c r="Z13" s="115">
        <v>40985</v>
      </c>
      <c r="AA13" s="116">
        <f>AB13+AD13</f>
        <v>0</v>
      </c>
      <c r="AB13" s="117"/>
      <c r="AC13" s="117"/>
      <c r="AD13" s="118"/>
      <c r="AE13" s="119"/>
      <c r="AF13" s="120"/>
      <c r="AG13" s="121"/>
      <c r="AH13" s="121"/>
      <c r="AI13" s="117"/>
      <c r="AJ13" s="122"/>
      <c r="AK13" s="122"/>
      <c r="AL13" s="122"/>
      <c r="AM13" s="123"/>
      <c r="AN13" s="124"/>
      <c r="AO13" s="125"/>
      <c r="AP13" s="131"/>
      <c r="AQ13" s="126"/>
      <c r="AR13" s="127" t="s">
        <v>24</v>
      </c>
    </row>
    <row r="14" spans="1:44" ht="16.5" thickTop="1" thickBot="1">
      <c r="A14" s="18">
        <v>40999</v>
      </c>
      <c r="B14" s="37">
        <f>SUM(C14:E14)</f>
        <v>0</v>
      </c>
      <c r="C14" s="29"/>
      <c r="D14" s="29"/>
      <c r="E14" s="38" t="s">
        <v>24</v>
      </c>
      <c r="F14" s="39" t="e">
        <f>NPV($O$6,#REF!)</f>
        <v>#REF!</v>
      </c>
      <c r="G14" s="40"/>
      <c r="H14" s="24">
        <f>(XNPV($O$6,B14:$B$37,A14:$A$37)-B14)*((1+$O$6)^(1/365))</f>
        <v>48051.070891224314</v>
      </c>
      <c r="I14" s="41">
        <f>I13-C14</f>
        <v>48000</v>
      </c>
      <c r="J14" s="29">
        <f>J13+N14-D14</f>
        <v>500</v>
      </c>
      <c r="K14" s="42">
        <f>K13+O14</f>
        <v>-448.92910877568647</v>
      </c>
      <c r="L14" s="33">
        <f>P14</f>
        <v>0</v>
      </c>
      <c r="M14" s="28">
        <f>H14-H13+B14</f>
        <v>495.84948862586316</v>
      </c>
      <c r="N14" s="29">
        <f>I13*O$4*(A14-A13)/360</f>
        <v>466.66666666666669</v>
      </c>
      <c r="O14" s="30">
        <f>M14-N14</f>
        <v>29.182821959196474</v>
      </c>
      <c r="P14" s="43">
        <v>0</v>
      </c>
      <c r="Q14" s="44"/>
      <c r="R14" s="33"/>
      <c r="T14" s="7">
        <f>O14</f>
        <v>29.182821959196474</v>
      </c>
      <c r="U14" s="7">
        <f>M14</f>
        <v>495.84948862586316</v>
      </c>
      <c r="V14" s="45" t="e">
        <f>N14+N12-#REF!</f>
        <v>#REF!</v>
      </c>
      <c r="W14" s="7" t="e">
        <f>J14-#REF!</f>
        <v>#REF!</v>
      </c>
      <c r="X14" s="7">
        <f>ROUND((O12+O14),2)</f>
        <v>29.18</v>
      </c>
      <c r="Y14" s="46" t="s">
        <v>27</v>
      </c>
      <c r="Z14" s="115">
        <v>40999</v>
      </c>
      <c r="AA14" s="128">
        <f>SUM(AB14:AD14)</f>
        <v>0</v>
      </c>
      <c r="AB14" s="125"/>
      <c r="AC14" s="125"/>
      <c r="AD14" s="129"/>
      <c r="AE14" s="130"/>
      <c r="AF14" s="120"/>
      <c r="AG14" s="131"/>
      <c r="AH14" s="131"/>
      <c r="AI14" s="125"/>
      <c r="AJ14" s="132"/>
      <c r="AK14" s="132"/>
      <c r="AL14" s="132"/>
      <c r="AM14" s="133"/>
      <c r="AN14" s="124"/>
      <c r="AO14" s="125"/>
      <c r="AP14" s="131"/>
      <c r="AQ14" s="126"/>
      <c r="AR14" s="134"/>
    </row>
    <row r="15" spans="1:44" ht="16.5" thickTop="1" thickBot="1">
      <c r="A15" s="18">
        <v>41019</v>
      </c>
      <c r="B15" s="37">
        <f>SUM(C15:E15)</f>
        <v>5133.333333333333</v>
      </c>
      <c r="C15" s="29">
        <v>4000</v>
      </c>
      <c r="D15" s="29">
        <f>I13*O$4*(A15-A13)/360</f>
        <v>1133.3333333333333</v>
      </c>
      <c r="E15" s="38" t="s">
        <v>24</v>
      </c>
      <c r="F15" s="39" t="e">
        <f>NPV($O$6,#REF!)</f>
        <v>#REF!</v>
      </c>
      <c r="G15" s="40"/>
      <c r="H15" s="24">
        <f>(XNPV($O$6,B15:$B$37,A15:$A$37)-B15)*((1+$O$6)^(1/365))</f>
        <v>43631.271123228616</v>
      </c>
      <c r="I15" s="41">
        <f>I13-C15</f>
        <v>44000</v>
      </c>
      <c r="J15" s="29">
        <f t="shared" ref="J15:J37" si="0">J14+N15-D15</f>
        <v>0</v>
      </c>
      <c r="K15" s="42">
        <f t="shared" ref="K15:K37" si="1">K14+O15</f>
        <v>-368.72887677138385</v>
      </c>
      <c r="L15" s="33">
        <f>P15</f>
        <v>0</v>
      </c>
      <c r="M15" s="28">
        <f>H15-H14+B15</f>
        <v>713.53356533763599</v>
      </c>
      <c r="N15" s="29">
        <f>I14*O$4*(A15-A14-1)/360</f>
        <v>633.33333333333337</v>
      </c>
      <c r="O15" s="30">
        <f>M15-N15</f>
        <v>80.20023200430262</v>
      </c>
      <c r="P15" s="43">
        <v>0</v>
      </c>
      <c r="Q15" s="44"/>
      <c r="R15" s="33"/>
      <c r="T15" s="7">
        <f>O15</f>
        <v>80.20023200430262</v>
      </c>
      <c r="U15" s="7">
        <f>M15</f>
        <v>713.53356533763599</v>
      </c>
      <c r="V15" s="45" t="e">
        <f>N15+N13-#REF!</f>
        <v>#REF!</v>
      </c>
      <c r="W15" s="7" t="e">
        <f>J15-#REF!</f>
        <v>#REF!</v>
      </c>
      <c r="X15" s="7">
        <f>ROUND((O13+O15),2)</f>
        <v>82.09</v>
      </c>
      <c r="Y15" s="46" t="s">
        <v>27</v>
      </c>
      <c r="Z15" s="115">
        <v>41019</v>
      </c>
      <c r="AA15" s="128">
        <f>SUM(AB15:AD15)</f>
        <v>0</v>
      </c>
      <c r="AB15" s="125"/>
      <c r="AC15" s="125"/>
      <c r="AD15" s="129"/>
      <c r="AE15" s="130"/>
      <c r="AF15" s="120"/>
      <c r="AG15" s="131"/>
      <c r="AH15" s="131"/>
      <c r="AI15" s="125"/>
      <c r="AJ15" s="132"/>
      <c r="AK15" s="132"/>
      <c r="AL15" s="132"/>
      <c r="AM15" s="133"/>
      <c r="AN15" s="124"/>
      <c r="AO15" s="125"/>
      <c r="AP15" s="131"/>
      <c r="AQ15" s="126"/>
      <c r="AR15" s="134"/>
    </row>
    <row r="16" spans="1:44" ht="15.75" thickTop="1">
      <c r="A16" s="18">
        <v>41029</v>
      </c>
      <c r="B16" s="37">
        <f>SUM(C16:E16)</f>
        <v>0</v>
      </c>
      <c r="C16" s="29"/>
      <c r="D16" s="29">
        <v>0</v>
      </c>
      <c r="E16" s="38"/>
      <c r="F16" s="39" t="e">
        <f>NPV($O$6,#REF!)</f>
        <v>#REF!</v>
      </c>
      <c r="G16" s="40"/>
      <c r="H16" s="24">
        <f>(XNPV($O$6,B16:$B$37,A16:$A$37)-B16)*((1+$O$6)^(1/365))</f>
        <v>43955.742944231053</v>
      </c>
      <c r="I16" s="41">
        <f t="shared" ref="I16:I37" si="2">I15-C16</f>
        <v>44000</v>
      </c>
      <c r="J16" s="29">
        <f t="shared" si="0"/>
        <v>336.11111111111109</v>
      </c>
      <c r="K16" s="42">
        <f t="shared" si="1"/>
        <v>-380.36816688005831</v>
      </c>
      <c r="L16" s="33">
        <f>P16</f>
        <v>0</v>
      </c>
      <c r="M16" s="28">
        <f t="shared" ref="M16:M37" si="3">H16-H15+B16</f>
        <v>324.47182100243663</v>
      </c>
      <c r="N16" s="29">
        <f>I15*O$4*(A16-A15+1)/360</f>
        <v>336.11111111111109</v>
      </c>
      <c r="O16" s="30">
        <f t="shared" ref="O16:O37" si="4">M16-N16</f>
        <v>-11.639290108674459</v>
      </c>
      <c r="P16" s="43">
        <v>0</v>
      </c>
      <c r="Q16" s="44">
        <f>M16/H13</f>
        <v>6.8230535245643346E-3</v>
      </c>
      <c r="R16" s="33"/>
      <c r="S16" s="2">
        <f>N15+N16-D16</f>
        <v>969.44444444444446</v>
      </c>
      <c r="T16" s="7">
        <f>O16</f>
        <v>-11.639290108674459</v>
      </c>
      <c r="U16" s="7">
        <f>M16</f>
        <v>324.47182100243663</v>
      </c>
      <c r="V16" s="45" t="e">
        <f>N16-#REF!</f>
        <v>#REF!</v>
      </c>
      <c r="W16" s="7" t="e">
        <f>J16-#REF!</f>
        <v>#REF!</v>
      </c>
      <c r="X16" s="7"/>
      <c r="Z16" s="115">
        <v>41029</v>
      </c>
      <c r="AA16" s="128">
        <f>SUM(AB16:AD16)</f>
        <v>0</v>
      </c>
      <c r="AB16" s="125"/>
      <c r="AC16" s="125"/>
      <c r="AD16" s="129"/>
      <c r="AE16" s="130"/>
      <c r="AF16" s="120"/>
      <c r="AG16" s="131"/>
      <c r="AH16" s="131"/>
      <c r="AI16" s="125"/>
      <c r="AJ16" s="132"/>
      <c r="AK16" s="132"/>
      <c r="AL16" s="132"/>
      <c r="AM16" s="133"/>
      <c r="AN16" s="124"/>
      <c r="AO16" s="125"/>
      <c r="AP16" s="131"/>
      <c r="AQ16" s="126"/>
      <c r="AR16" s="134"/>
    </row>
    <row r="17" spans="1:44">
      <c r="A17" s="18">
        <v>41049</v>
      </c>
      <c r="B17" s="37">
        <f t="shared" ref="B17:B37" si="5">SUM(C17:E17)</f>
        <v>4916.666666666667</v>
      </c>
      <c r="C17" s="29">
        <v>4000</v>
      </c>
      <c r="D17" s="29">
        <f>I15*O$4*(A17-A15)/360</f>
        <v>916.66666666666663</v>
      </c>
      <c r="E17" s="38"/>
      <c r="F17" s="39"/>
      <c r="G17" s="47"/>
      <c r="H17" s="24">
        <f>(XNPV($O$6,B17:$B$37,A17:$A$37)-B17)*((1+$O$6)^(1/365))</f>
        <v>39691.632654821064</v>
      </c>
      <c r="I17" s="41">
        <f t="shared" si="2"/>
        <v>40000</v>
      </c>
      <c r="J17" s="29">
        <f t="shared" si="0"/>
        <v>0</v>
      </c>
      <c r="K17" s="42">
        <f t="shared" si="1"/>
        <v>-308.36734517893638</v>
      </c>
      <c r="L17" s="33">
        <f>P17</f>
        <v>0</v>
      </c>
      <c r="M17" s="28">
        <f t="shared" si="3"/>
        <v>652.55637725667748</v>
      </c>
      <c r="N17" s="29">
        <f t="shared" ref="N17" si="6">I16*O$4*(A17-A16-1)/360</f>
        <v>580.55555555555554</v>
      </c>
      <c r="O17" s="30">
        <f t="shared" si="4"/>
        <v>72.000821701121936</v>
      </c>
      <c r="P17" s="43">
        <v>0</v>
      </c>
      <c r="Q17" s="44"/>
      <c r="R17" s="33"/>
      <c r="V17" s="45" t="e">
        <f>N17-#REF!</f>
        <v>#REF!</v>
      </c>
      <c r="W17" s="7" t="e">
        <f>J17-#REF!</f>
        <v>#REF!</v>
      </c>
      <c r="X17" s="7">
        <f>ROUND((O16+O17),2)</f>
        <v>60.36</v>
      </c>
      <c r="Y17" s="46" t="s">
        <v>28</v>
      </c>
      <c r="Z17" s="115">
        <v>41049</v>
      </c>
      <c r="AA17" s="128">
        <f t="shared" ref="AA17:AA37" si="7">SUM(AB17:AD17)</f>
        <v>0</v>
      </c>
      <c r="AB17" s="125"/>
      <c r="AC17" s="125"/>
      <c r="AD17" s="129"/>
      <c r="AE17" s="130"/>
      <c r="AF17" s="120"/>
      <c r="AG17" s="131"/>
      <c r="AH17" s="131"/>
      <c r="AI17" s="125"/>
      <c r="AJ17" s="132"/>
      <c r="AK17" s="132"/>
      <c r="AL17" s="132"/>
      <c r="AM17" s="133"/>
      <c r="AN17" s="124"/>
      <c r="AO17" s="125"/>
      <c r="AP17" s="131"/>
      <c r="AQ17" s="126"/>
      <c r="AR17" s="134"/>
    </row>
    <row r="18" spans="1:44">
      <c r="A18" s="18">
        <v>41060</v>
      </c>
      <c r="B18" s="37">
        <f t="shared" si="5"/>
        <v>0</v>
      </c>
      <c r="C18" s="29"/>
      <c r="D18" s="29">
        <v>0</v>
      </c>
      <c r="E18" s="38"/>
      <c r="F18" s="39"/>
      <c r="G18" s="47"/>
      <c r="H18" s="24">
        <f>(XNPV($O$6,B18:$B$37,A18:$A$37)-B18)*((1+$O$6)^(1/365))</f>
        <v>40016.444505204759</v>
      </c>
      <c r="I18" s="41">
        <f t="shared" si="2"/>
        <v>40000</v>
      </c>
      <c r="J18" s="29">
        <f t="shared" si="0"/>
        <v>333.33333333333331</v>
      </c>
      <c r="K18" s="42">
        <f t="shared" si="1"/>
        <v>-316.88882812857383</v>
      </c>
      <c r="L18" s="33">
        <f t="shared" ref="L18:L37" si="8">P18</f>
        <v>0</v>
      </c>
      <c r="M18" s="28">
        <f t="shared" si="3"/>
        <v>324.81185038369586</v>
      </c>
      <c r="N18" s="29">
        <f t="shared" ref="N18" si="9">I17*O$4*(A18-A17+1)/360</f>
        <v>333.33333333333331</v>
      </c>
      <c r="O18" s="30">
        <f t="shared" si="4"/>
        <v>-8.5214829496374591</v>
      </c>
      <c r="P18" s="43">
        <v>0</v>
      </c>
      <c r="Q18" s="44">
        <f>M18/H16</f>
        <v>7.3895201998019147E-3</v>
      </c>
      <c r="R18" s="33"/>
      <c r="S18" s="2">
        <f>N17+N18-D18</f>
        <v>913.88888888888891</v>
      </c>
      <c r="T18" s="7">
        <f>O18+O17</f>
        <v>63.479338751484477</v>
      </c>
      <c r="U18" s="7">
        <f>M17+M18</f>
        <v>977.36822764037333</v>
      </c>
      <c r="V18" s="45" t="e">
        <f>N18-#REF!</f>
        <v>#REF!</v>
      </c>
      <c r="W18" s="7" t="e">
        <f>J18-#REF!</f>
        <v>#REF!</v>
      </c>
      <c r="X18" s="7"/>
      <c r="Z18" s="115">
        <v>41060</v>
      </c>
      <c r="AA18" s="128">
        <f t="shared" si="7"/>
        <v>0</v>
      </c>
      <c r="AB18" s="125"/>
      <c r="AC18" s="125"/>
      <c r="AD18" s="129"/>
      <c r="AE18" s="130"/>
      <c r="AF18" s="120"/>
      <c r="AG18" s="131"/>
      <c r="AH18" s="131"/>
      <c r="AI18" s="125"/>
      <c r="AJ18" s="132"/>
      <c r="AK18" s="132"/>
      <c r="AL18" s="132"/>
      <c r="AM18" s="133"/>
      <c r="AN18" s="124"/>
      <c r="AO18" s="125"/>
      <c r="AP18" s="131"/>
      <c r="AQ18" s="126"/>
      <c r="AR18" s="134"/>
    </row>
    <row r="19" spans="1:44">
      <c r="A19" s="18">
        <v>41080</v>
      </c>
      <c r="B19" s="37">
        <f t="shared" si="5"/>
        <v>4861.1111111111113</v>
      </c>
      <c r="C19" s="29">
        <v>4000</v>
      </c>
      <c r="D19" s="29">
        <f>I17*O$4*(A19-A17)/360</f>
        <v>861.11111111111109</v>
      </c>
      <c r="E19" s="38"/>
      <c r="F19" s="39"/>
      <c r="G19" s="47"/>
      <c r="H19" s="24">
        <f>(XNPV($O$6,B19:$B$37,A19:$A$37)-B19)*((1+$O$6)^(1/365))</f>
        <v>35749.122481434453</v>
      </c>
      <c r="I19" s="41">
        <f t="shared" si="2"/>
        <v>36000</v>
      </c>
      <c r="J19" s="29">
        <f t="shared" si="0"/>
        <v>0</v>
      </c>
      <c r="K19" s="42">
        <f t="shared" si="1"/>
        <v>-250.87751856554661</v>
      </c>
      <c r="L19" s="33">
        <f t="shared" si="8"/>
        <v>0</v>
      </c>
      <c r="M19" s="28">
        <f t="shared" si="3"/>
        <v>593.78908734080505</v>
      </c>
      <c r="N19" s="29">
        <f t="shared" ref="N19" si="10">I18*O$4*(A19-A18-1)/360</f>
        <v>527.77777777777783</v>
      </c>
      <c r="O19" s="30">
        <f t="shared" si="4"/>
        <v>66.011309563027226</v>
      </c>
      <c r="P19" s="43">
        <v>0</v>
      </c>
      <c r="Q19" s="44"/>
      <c r="R19" s="33"/>
      <c r="V19" s="45" t="e">
        <f>N19-#REF!</f>
        <v>#REF!</v>
      </c>
      <c r="W19" s="7" t="e">
        <f>J19-#REF!</f>
        <v>#REF!</v>
      </c>
      <c r="X19" s="7">
        <f>ROUND((O18+O19),2)</f>
        <v>57.49</v>
      </c>
      <c r="Y19" s="46" t="s">
        <v>28</v>
      </c>
      <c r="Z19" s="115">
        <v>41080</v>
      </c>
      <c r="AA19" s="128">
        <f t="shared" si="7"/>
        <v>0</v>
      </c>
      <c r="AB19" s="125"/>
      <c r="AC19" s="125"/>
      <c r="AD19" s="129"/>
      <c r="AE19" s="130">
        <f>(XNPV(AQ$6,AA19:AA$37,Z19:Z$37))</f>
        <v>35633.564489985867</v>
      </c>
      <c r="AF19" s="120">
        <f>AG19+AH19+AI19+AJ19+AK19+AL19+AM19</f>
        <v>36494.674489985868</v>
      </c>
      <c r="AG19" s="131">
        <f t="shared" ref="AG19:AG37" si="11">I19</f>
        <v>36000</v>
      </c>
      <c r="AH19" s="131">
        <f>C19</f>
        <v>4000</v>
      </c>
      <c r="AI19" s="125">
        <f>J19</f>
        <v>0</v>
      </c>
      <c r="AJ19" s="132">
        <v>861.11</v>
      </c>
      <c r="AK19" s="132">
        <v>0</v>
      </c>
      <c r="AL19" s="132">
        <f>K19</f>
        <v>-250.87751856554661</v>
      </c>
      <c r="AM19" s="133">
        <f>AR19</f>
        <v>-4115.5579914485861</v>
      </c>
      <c r="AN19" s="124"/>
      <c r="AO19" s="125">
        <f>N19</f>
        <v>527.77777777777783</v>
      </c>
      <c r="AP19" s="131">
        <v>0</v>
      </c>
      <c r="AQ19" s="126">
        <f>O19</f>
        <v>66.011309563027226</v>
      </c>
      <c r="AR19" s="134">
        <f>AE19-(H19+4000)</f>
        <v>-4115.5579914485861</v>
      </c>
    </row>
    <row r="20" spans="1:44">
      <c r="A20" s="18">
        <v>41090</v>
      </c>
      <c r="B20" s="37">
        <f t="shared" si="5"/>
        <v>0</v>
      </c>
      <c r="C20" s="29"/>
      <c r="D20" s="29">
        <v>0</v>
      </c>
      <c r="E20" s="38"/>
      <c r="F20" s="39"/>
      <c r="G20" s="47"/>
      <c r="H20" s="24">
        <f>(XNPV($O$6,B20:$B$37,A20:$A$37)-B20)*((1+$O$6)^(1/365))</f>
        <v>36014.977281722749</v>
      </c>
      <c r="I20" s="41">
        <f t="shared" si="2"/>
        <v>36000</v>
      </c>
      <c r="J20" s="29">
        <f t="shared" si="0"/>
        <v>275</v>
      </c>
      <c r="K20" s="42">
        <f t="shared" si="1"/>
        <v>-260.02271827725036</v>
      </c>
      <c r="L20" s="33">
        <f t="shared" si="8"/>
        <v>0</v>
      </c>
      <c r="M20" s="28">
        <f t="shared" si="3"/>
        <v>265.85480028829625</v>
      </c>
      <c r="N20" s="29">
        <f t="shared" ref="N20" si="12">I19*O$4*(A20-A19+1)/360</f>
        <v>275</v>
      </c>
      <c r="O20" s="30">
        <f t="shared" si="4"/>
        <v>-9.1451997117037536</v>
      </c>
      <c r="P20" s="43">
        <v>0</v>
      </c>
      <c r="Q20" s="44">
        <f>M20/H18</f>
        <v>6.6436387234182614E-3</v>
      </c>
      <c r="R20" s="33"/>
      <c r="S20" s="2">
        <f>N19+N20-D20</f>
        <v>802.77777777777783</v>
      </c>
      <c r="T20" s="7">
        <f>O20+O19</f>
        <v>56.866109851323472</v>
      </c>
      <c r="U20" s="7">
        <f>M19+M20</f>
        <v>859.6438876291013</v>
      </c>
      <c r="V20" s="45" t="e">
        <f>N20-#REF!</f>
        <v>#REF!</v>
      </c>
      <c r="W20" s="7" t="e">
        <f>J20-#REF!</f>
        <v>#REF!</v>
      </c>
      <c r="X20" s="7"/>
      <c r="Z20" s="115">
        <v>41090</v>
      </c>
      <c r="AA20" s="128">
        <f t="shared" si="7"/>
        <v>0</v>
      </c>
      <c r="AB20" s="125"/>
      <c r="AC20" s="125"/>
      <c r="AD20" s="129"/>
      <c r="AE20" s="130">
        <f>(XNPV(AQ$6,AA20:AA$37,Z20:Z$37))</f>
        <v>35898.55992241823</v>
      </c>
      <c r="AF20" s="120">
        <f t="shared" ref="AF20:AF37" si="13">AG20+AH20+AI20+AJ20+AK20+AL20+AM20</f>
        <v>35898.559922418237</v>
      </c>
      <c r="AG20" s="131">
        <f t="shared" si="11"/>
        <v>36000</v>
      </c>
      <c r="AH20" s="131">
        <f>AH19+C20</f>
        <v>4000</v>
      </c>
      <c r="AI20" s="125">
        <f t="shared" ref="AI20:AI37" si="14">J20</f>
        <v>275</v>
      </c>
      <c r="AJ20" s="132">
        <f>AJ19</f>
        <v>861.11</v>
      </c>
      <c r="AK20" s="132">
        <f>AK19+AP20-AC20</f>
        <v>27.777777777777779</v>
      </c>
      <c r="AL20" s="132">
        <f t="shared" ref="AL20:AL37" si="15">K20</f>
        <v>-260.02271827725036</v>
      </c>
      <c r="AM20" s="133">
        <f>AE20-AG20-AH20-AI20-AJ20-AK20-AL20</f>
        <v>-5005.3051370822968</v>
      </c>
      <c r="AN20" s="124"/>
      <c r="AO20" s="125">
        <f t="shared" ref="AO20:AO37" si="16">N20</f>
        <v>275</v>
      </c>
      <c r="AP20" s="131">
        <f>AH19*AQ$4*(Z20-Z19)/360</f>
        <v>27.777777777777779</v>
      </c>
      <c r="AQ20" s="126">
        <f t="shared" ref="AQ20:AQ37" si="17">O20</f>
        <v>-9.1451997117037536</v>
      </c>
      <c r="AR20" s="134">
        <f>AM20-AM19</f>
        <v>-889.74714563371072</v>
      </c>
    </row>
    <row r="21" spans="1:44">
      <c r="A21" s="18">
        <v>41110</v>
      </c>
      <c r="B21" s="37">
        <f t="shared" si="5"/>
        <v>4750</v>
      </c>
      <c r="C21" s="29">
        <v>4000</v>
      </c>
      <c r="D21" s="29">
        <f>I19*O$4*(A21-A19)/360</f>
        <v>750</v>
      </c>
      <c r="E21" s="38"/>
      <c r="F21" s="39"/>
      <c r="G21" s="47"/>
      <c r="H21" s="24">
        <f>(XNPV($O$6,B21:$B$37,A21:$A$37)-B21)*((1+$O$6)^(1/365))</f>
        <v>31799.112159462333</v>
      </c>
      <c r="I21" s="41">
        <f t="shared" si="2"/>
        <v>32000</v>
      </c>
      <c r="J21" s="29">
        <f t="shared" si="0"/>
        <v>0</v>
      </c>
      <c r="K21" s="42">
        <f t="shared" si="1"/>
        <v>-200.88784053766705</v>
      </c>
      <c r="L21" s="33">
        <f t="shared" si="8"/>
        <v>0</v>
      </c>
      <c r="M21" s="28">
        <f t="shared" si="3"/>
        <v>534.13487773958332</v>
      </c>
      <c r="N21" s="29">
        <f t="shared" ref="N21" si="18">I20*O$4*(A21-A20-1)/360</f>
        <v>475</v>
      </c>
      <c r="O21" s="30">
        <f t="shared" si="4"/>
        <v>59.134877739583317</v>
      </c>
      <c r="P21" s="43">
        <v>0</v>
      </c>
      <c r="Q21" s="44"/>
      <c r="R21" s="33"/>
      <c r="V21" s="45" t="e">
        <f>N21-#REF!</f>
        <v>#REF!</v>
      </c>
      <c r="W21" s="7" t="e">
        <f>J21-#REF!</f>
        <v>#REF!</v>
      </c>
      <c r="X21" s="7">
        <f>ROUND((O20+O21),2)</f>
        <v>49.99</v>
      </c>
      <c r="Y21" s="46" t="s">
        <v>28</v>
      </c>
      <c r="Z21" s="115">
        <v>41110</v>
      </c>
      <c r="AA21" s="128">
        <f t="shared" si="7"/>
        <v>0</v>
      </c>
      <c r="AB21" s="147"/>
      <c r="AC21" s="147"/>
      <c r="AD21" s="129"/>
      <c r="AE21" s="130">
        <f>(XNPV(AQ$6,AA21:AA$37,Z21:Z$37))</f>
        <v>36434.477501703332</v>
      </c>
      <c r="AF21" s="120">
        <f t="shared" si="13"/>
        <v>36434.477501703332</v>
      </c>
      <c r="AG21" s="131">
        <f t="shared" si="11"/>
        <v>32000</v>
      </c>
      <c r="AH21" s="131">
        <f t="shared" ref="AH21:AH36" si="19">AH20+C21</f>
        <v>8000</v>
      </c>
      <c r="AI21" s="125">
        <f t="shared" si="14"/>
        <v>0</v>
      </c>
      <c r="AJ21" s="132">
        <f>AJ20+AI20</f>
        <v>1136.1100000000001</v>
      </c>
      <c r="AK21" s="132">
        <f t="shared" ref="AK21:AK35" si="20">AK20+AP21-AC21</f>
        <v>83.333333333333343</v>
      </c>
      <c r="AL21" s="132">
        <f t="shared" si="15"/>
        <v>-200.88784053766705</v>
      </c>
      <c r="AM21" s="133">
        <f t="shared" ref="AM21:AM36" si="21">AE21-AG21-AH21-AI21-AJ21-AK21-AL21</f>
        <v>-4584.0779910923347</v>
      </c>
      <c r="AN21" s="124"/>
      <c r="AO21" s="125">
        <f t="shared" si="16"/>
        <v>475</v>
      </c>
      <c r="AP21" s="131">
        <f t="shared" ref="AP21:AP37" si="22">AH20*AQ$4*(Z21-Z20)/360</f>
        <v>55.555555555555557</v>
      </c>
      <c r="AQ21" s="126">
        <f t="shared" si="17"/>
        <v>59.134877739583317</v>
      </c>
      <c r="AR21" s="134">
        <f t="shared" ref="AR21:AR37" si="23">AM21-AM20</f>
        <v>421.22714598996208</v>
      </c>
    </row>
    <row r="22" spans="1:44">
      <c r="A22" s="18">
        <v>41121</v>
      </c>
      <c r="B22" s="37">
        <f t="shared" si="5"/>
        <v>0</v>
      </c>
      <c r="C22" s="29"/>
      <c r="D22" s="29">
        <v>0</v>
      </c>
      <c r="E22" s="38"/>
      <c r="F22" s="39"/>
      <c r="G22" s="47"/>
      <c r="H22" s="24">
        <f>(XNPV($O$6,B22:$B$37,A22:$A$37)-B22)*((1+$O$6)^(1/365))</f>
        <v>32059.336488123681</v>
      </c>
      <c r="I22" s="41">
        <f t="shared" si="2"/>
        <v>32000</v>
      </c>
      <c r="J22" s="29">
        <f t="shared" si="0"/>
        <v>266.66666666666669</v>
      </c>
      <c r="K22" s="42">
        <f t="shared" si="1"/>
        <v>-207.33017854298532</v>
      </c>
      <c r="L22" s="33">
        <f t="shared" si="8"/>
        <v>0</v>
      </c>
      <c r="M22" s="28">
        <f t="shared" si="3"/>
        <v>260.22432866134841</v>
      </c>
      <c r="N22" s="29">
        <f t="shared" ref="N22" si="24">I21*O$4*(A22-A21+1)/360</f>
        <v>266.66666666666669</v>
      </c>
      <c r="O22" s="30">
        <f t="shared" si="4"/>
        <v>-6.4423380053182768</v>
      </c>
      <c r="P22" s="43">
        <v>0</v>
      </c>
      <c r="Q22" s="44">
        <f>M22/H20</f>
        <v>7.2254475305030871E-3</v>
      </c>
      <c r="R22" s="33"/>
      <c r="S22" s="2">
        <f>N21+N22-D22</f>
        <v>741.66666666666674</v>
      </c>
      <c r="T22" s="7">
        <f>O22+O21</f>
        <v>52.69253973426504</v>
      </c>
      <c r="U22" s="7">
        <f>M21+M22</f>
        <v>794.35920640093173</v>
      </c>
      <c r="V22" s="45" t="e">
        <f>N22-#REF!</f>
        <v>#REF!</v>
      </c>
      <c r="W22" s="7" t="e">
        <f>J22-#REF!</f>
        <v>#REF!</v>
      </c>
      <c r="X22" s="7"/>
      <c r="Z22" s="115">
        <v>41121</v>
      </c>
      <c r="AA22" s="128">
        <f t="shared" si="7"/>
        <v>0</v>
      </c>
      <c r="AB22" s="125"/>
      <c r="AC22" s="125"/>
      <c r="AD22" s="129"/>
      <c r="AE22" s="130">
        <f>(XNPV(AQ$6,AA22:AA$37,Z22:Z$37))</f>
        <v>36732.634802462635</v>
      </c>
      <c r="AF22" s="120">
        <f t="shared" si="13"/>
        <v>36732.634802462635</v>
      </c>
      <c r="AG22" s="131">
        <f t="shared" si="11"/>
        <v>32000</v>
      </c>
      <c r="AH22" s="131">
        <f t="shared" si="19"/>
        <v>8000</v>
      </c>
      <c r="AI22" s="125">
        <f t="shared" si="14"/>
        <v>266.66666666666669</v>
      </c>
      <c r="AJ22" s="132">
        <f t="shared" ref="AJ22:AJ36" si="25">AJ21+AI21</f>
        <v>1136.1100000000001</v>
      </c>
      <c r="AK22" s="132">
        <f t="shared" si="20"/>
        <v>144.44444444444446</v>
      </c>
      <c r="AL22" s="132">
        <f t="shared" si="15"/>
        <v>-207.33017854298532</v>
      </c>
      <c r="AM22" s="133">
        <f t="shared" si="21"/>
        <v>-4607.2561301054902</v>
      </c>
      <c r="AN22" s="124"/>
      <c r="AO22" s="125">
        <f t="shared" si="16"/>
        <v>266.66666666666669</v>
      </c>
      <c r="AP22" s="131">
        <f t="shared" si="22"/>
        <v>61.111111111111114</v>
      </c>
      <c r="AQ22" s="126">
        <f t="shared" si="17"/>
        <v>-6.4423380053182768</v>
      </c>
      <c r="AR22" s="134">
        <f t="shared" si="23"/>
        <v>-23.178139013155487</v>
      </c>
    </row>
    <row r="23" spans="1:44">
      <c r="A23" s="18">
        <v>41141</v>
      </c>
      <c r="B23" s="37">
        <f t="shared" si="5"/>
        <v>4688.8888888888887</v>
      </c>
      <c r="C23" s="29">
        <v>4000</v>
      </c>
      <c r="D23" s="29">
        <f>I21*O$4*(A23-A21)/360</f>
        <v>688.88888888888891</v>
      </c>
      <c r="E23" s="38"/>
      <c r="F23" s="39"/>
      <c r="G23" s="47"/>
      <c r="H23" s="24">
        <f>(XNPV($O$6,B23:$B$37,A23:$A$37)-B23)*((1+$O$6)^(1/365))</f>
        <v>27845.575335247722</v>
      </c>
      <c r="I23" s="41">
        <f t="shared" si="2"/>
        <v>28000</v>
      </c>
      <c r="J23" s="29">
        <f t="shared" si="0"/>
        <v>0</v>
      </c>
      <c r="K23" s="42">
        <f t="shared" si="1"/>
        <v>-154.42466475227781</v>
      </c>
      <c r="L23" s="33">
        <f t="shared" si="8"/>
        <v>0</v>
      </c>
      <c r="M23" s="28">
        <f t="shared" si="3"/>
        <v>475.12773601292974</v>
      </c>
      <c r="N23" s="29">
        <f t="shared" ref="N23" si="26">I22*O$4*(A23-A22-1)/360</f>
        <v>422.22222222222223</v>
      </c>
      <c r="O23" s="30">
        <f t="shared" si="4"/>
        <v>52.905513790707516</v>
      </c>
      <c r="P23" s="43">
        <v>0</v>
      </c>
      <c r="Q23" s="44"/>
      <c r="R23" s="33"/>
      <c r="V23" s="45" t="e">
        <f>N23-#REF!</f>
        <v>#REF!</v>
      </c>
      <c r="W23" s="7" t="e">
        <f>J23-#REF!</f>
        <v>#REF!</v>
      </c>
      <c r="X23" s="7">
        <f>ROUND((O22+O23),2)</f>
        <v>46.46</v>
      </c>
      <c r="Y23" s="46" t="s">
        <v>28</v>
      </c>
      <c r="Z23" s="115">
        <v>41141</v>
      </c>
      <c r="AA23" s="128">
        <f t="shared" si="7"/>
        <v>0</v>
      </c>
      <c r="AB23" s="125"/>
      <c r="AC23" s="125"/>
      <c r="AD23" s="129"/>
      <c r="AE23" s="130">
        <f>(XNPV(AQ$6,AA23:AA$37,Z23:Z$37))</f>
        <v>37281.004006314892</v>
      </c>
      <c r="AF23" s="120">
        <f t="shared" si="13"/>
        <v>37281.004006314884</v>
      </c>
      <c r="AG23" s="131">
        <f t="shared" si="11"/>
        <v>28000</v>
      </c>
      <c r="AH23" s="131">
        <f t="shared" si="19"/>
        <v>12000</v>
      </c>
      <c r="AI23" s="125">
        <f t="shared" si="14"/>
        <v>0</v>
      </c>
      <c r="AJ23" s="132">
        <f t="shared" si="25"/>
        <v>1402.7766666666669</v>
      </c>
      <c r="AK23" s="132">
        <f t="shared" si="20"/>
        <v>255.55555555555557</v>
      </c>
      <c r="AL23" s="132">
        <f t="shared" si="15"/>
        <v>-154.42466475227781</v>
      </c>
      <c r="AM23" s="133">
        <f t="shared" si="21"/>
        <v>-4222.9035511550528</v>
      </c>
      <c r="AN23" s="124"/>
      <c r="AO23" s="125">
        <f t="shared" si="16"/>
        <v>422.22222222222223</v>
      </c>
      <c r="AP23" s="131">
        <f t="shared" si="22"/>
        <v>111.11111111111111</v>
      </c>
      <c r="AQ23" s="126">
        <f t="shared" si="17"/>
        <v>52.905513790707516</v>
      </c>
      <c r="AR23" s="134">
        <f t="shared" si="23"/>
        <v>384.35257895043742</v>
      </c>
    </row>
    <row r="24" spans="1:44">
      <c r="A24" s="18">
        <v>41152</v>
      </c>
      <c r="B24" s="37">
        <f t="shared" si="5"/>
        <v>0</v>
      </c>
      <c r="C24" s="29"/>
      <c r="D24" s="29">
        <v>0</v>
      </c>
      <c r="E24" s="38"/>
      <c r="F24" s="39"/>
      <c r="G24" s="47"/>
      <c r="H24" s="24">
        <f>(XNPV($O$6,B24:$B$37,A24:$A$37)-B24)*((1+$O$6)^(1/365))</f>
        <v>28073.446356031782</v>
      </c>
      <c r="I24" s="41">
        <f t="shared" si="2"/>
        <v>28000</v>
      </c>
      <c r="J24" s="29">
        <f t="shared" si="0"/>
        <v>233.33333333333334</v>
      </c>
      <c r="K24" s="42">
        <f t="shared" si="1"/>
        <v>-159.88697730155164</v>
      </c>
      <c r="L24" s="33">
        <f t="shared" si="8"/>
        <v>0</v>
      </c>
      <c r="M24" s="28">
        <f t="shared" si="3"/>
        <v>227.87102078405951</v>
      </c>
      <c r="N24" s="29">
        <f t="shared" ref="N24" si="27">I23*O$4*(A24-A23+1)/360</f>
        <v>233.33333333333334</v>
      </c>
      <c r="O24" s="30">
        <f>M24-N24</f>
        <v>-5.4623125492738325</v>
      </c>
      <c r="P24" s="43">
        <v>0</v>
      </c>
      <c r="Q24" s="44">
        <f>M24/H22</f>
        <v>7.1077896720811388E-3</v>
      </c>
      <c r="R24" s="33"/>
      <c r="S24" s="2">
        <f>N23+N24-D24</f>
        <v>655.55555555555554</v>
      </c>
      <c r="T24" s="7">
        <f>O24+O23</f>
        <v>47.443201241433684</v>
      </c>
      <c r="U24" s="7">
        <f>M23+M24</f>
        <v>702.99875679698926</v>
      </c>
      <c r="V24" s="45" t="e">
        <f>N24-#REF!</f>
        <v>#REF!</v>
      </c>
      <c r="W24" s="7" t="e">
        <f>J24-#REF!</f>
        <v>#REF!</v>
      </c>
      <c r="X24" s="7"/>
      <c r="Z24" s="115">
        <v>41152</v>
      </c>
      <c r="AA24" s="128">
        <f t="shared" si="7"/>
        <v>0</v>
      </c>
      <c r="AB24" s="125"/>
      <c r="AC24" s="125"/>
      <c r="AD24" s="129"/>
      <c r="AE24" s="130">
        <f>(XNPV(AQ$6,AA24:AA$37,Z24:Z$37))</f>
        <v>37586.088758075093</v>
      </c>
      <c r="AF24" s="120">
        <f t="shared" si="13"/>
        <v>37586.088758075086</v>
      </c>
      <c r="AG24" s="131">
        <f t="shared" si="11"/>
        <v>28000</v>
      </c>
      <c r="AH24" s="131">
        <f t="shared" si="19"/>
        <v>12000</v>
      </c>
      <c r="AI24" s="125">
        <f t="shared" si="14"/>
        <v>233.33333333333334</v>
      </c>
      <c r="AJ24" s="132">
        <f t="shared" si="25"/>
        <v>1402.7766666666669</v>
      </c>
      <c r="AK24" s="132">
        <f t="shared" si="20"/>
        <v>347.22222222222223</v>
      </c>
      <c r="AL24" s="132">
        <f t="shared" si="15"/>
        <v>-159.88697730155164</v>
      </c>
      <c r="AM24" s="133">
        <f t="shared" si="21"/>
        <v>-4237.3564868455787</v>
      </c>
      <c r="AN24" s="124"/>
      <c r="AO24" s="125">
        <f t="shared" si="16"/>
        <v>233.33333333333334</v>
      </c>
      <c r="AP24" s="131">
        <f t="shared" si="22"/>
        <v>91.666666666666671</v>
      </c>
      <c r="AQ24" s="126">
        <f t="shared" si="17"/>
        <v>-5.4623125492738325</v>
      </c>
      <c r="AR24" s="134">
        <f t="shared" si="23"/>
        <v>-14.452935690525919</v>
      </c>
    </row>
    <row r="25" spans="1:44">
      <c r="A25" s="18">
        <v>41172</v>
      </c>
      <c r="B25" s="37">
        <f t="shared" si="5"/>
        <v>4602.7777777777774</v>
      </c>
      <c r="C25" s="29">
        <v>4000</v>
      </c>
      <c r="D25" s="29">
        <f>I23*O$4*(A25-A23)/360</f>
        <v>602.77777777777783</v>
      </c>
      <c r="E25" s="38"/>
      <c r="F25" s="39"/>
      <c r="G25" s="47"/>
      <c r="H25" s="24">
        <f>(XNPV($O$6,B25:$B$37,A25:$A$37)-B25)*((1+$O$6)^(1/365))</f>
        <v>23886.356120071236</v>
      </c>
      <c r="I25" s="41">
        <f t="shared" si="2"/>
        <v>24000</v>
      </c>
      <c r="J25" s="29">
        <f t="shared" si="0"/>
        <v>0</v>
      </c>
      <c r="K25" s="42">
        <f t="shared" si="1"/>
        <v>-113.64387992876485</v>
      </c>
      <c r="L25" s="33">
        <f t="shared" si="8"/>
        <v>0</v>
      </c>
      <c r="M25" s="28">
        <f t="shared" si="3"/>
        <v>415.68754181723125</v>
      </c>
      <c r="N25" s="29">
        <f t="shared" ref="N25" si="28">I24*O$4*(A25-A24-1)/360</f>
        <v>369.44444444444446</v>
      </c>
      <c r="O25" s="30">
        <f t="shared" si="4"/>
        <v>46.243097372786792</v>
      </c>
      <c r="P25" s="43">
        <v>0</v>
      </c>
      <c r="Q25" s="44"/>
      <c r="R25" s="33"/>
      <c r="V25" s="45" t="e">
        <f>N25-#REF!</f>
        <v>#REF!</v>
      </c>
      <c r="W25" s="7" t="e">
        <f>J25-#REF!</f>
        <v>#REF!</v>
      </c>
      <c r="X25" s="7">
        <f>ROUND((O24+O25),2)</f>
        <v>40.78</v>
      </c>
      <c r="Y25" s="46" t="s">
        <v>28</v>
      </c>
      <c r="Z25" s="115">
        <v>41172</v>
      </c>
      <c r="AA25" s="128">
        <f t="shared" si="7"/>
        <v>0</v>
      </c>
      <c r="AB25" s="125"/>
      <c r="AC25" s="125"/>
      <c r="AD25" s="129"/>
      <c r="AE25" s="130">
        <f>(XNPV(AQ$6,AA25:AA$37,Z25:Z$37))</f>
        <v>38147.198890223975</v>
      </c>
      <c r="AF25" s="120">
        <f t="shared" si="13"/>
        <v>38147.198890223975</v>
      </c>
      <c r="AG25" s="131">
        <f t="shared" si="11"/>
        <v>24000</v>
      </c>
      <c r="AH25" s="131">
        <f t="shared" si="19"/>
        <v>16000</v>
      </c>
      <c r="AI25" s="125">
        <f t="shared" si="14"/>
        <v>0</v>
      </c>
      <c r="AJ25" s="132">
        <f t="shared" si="25"/>
        <v>1636.1100000000001</v>
      </c>
      <c r="AK25" s="132">
        <f t="shared" si="20"/>
        <v>513.88888888888891</v>
      </c>
      <c r="AL25" s="132">
        <f t="shared" si="15"/>
        <v>-113.64387992876485</v>
      </c>
      <c r="AM25" s="133">
        <f t="shared" si="21"/>
        <v>-3889.156118736149</v>
      </c>
      <c r="AN25" s="124"/>
      <c r="AO25" s="125">
        <f t="shared" si="16"/>
        <v>369.44444444444446</v>
      </c>
      <c r="AP25" s="131">
        <f t="shared" si="22"/>
        <v>166.66666666666666</v>
      </c>
      <c r="AQ25" s="126">
        <f t="shared" si="17"/>
        <v>46.243097372786792</v>
      </c>
      <c r="AR25" s="134">
        <f t="shared" si="23"/>
        <v>348.20036810942975</v>
      </c>
    </row>
    <row r="26" spans="1:44">
      <c r="A26" s="18">
        <v>41182</v>
      </c>
      <c r="B26" s="37">
        <f t="shared" si="5"/>
        <v>0</v>
      </c>
      <c r="C26" s="29"/>
      <c r="D26" s="29">
        <v>0</v>
      </c>
      <c r="E26" s="38"/>
      <c r="F26" s="39"/>
      <c r="G26" s="47"/>
      <c r="H26" s="24">
        <f>(XNPV($O$6,B26:$B$37,A26:$A$37)-B26)*((1+$O$6)^(1/365))</f>
        <v>24063.991317668446</v>
      </c>
      <c r="I26" s="41">
        <f t="shared" si="2"/>
        <v>24000</v>
      </c>
      <c r="J26" s="29">
        <f t="shared" si="0"/>
        <v>183.33333333333334</v>
      </c>
      <c r="K26" s="42">
        <f t="shared" si="1"/>
        <v>-119.34201566488798</v>
      </c>
      <c r="L26" s="33">
        <f t="shared" si="8"/>
        <v>0</v>
      </c>
      <c r="M26" s="28">
        <f t="shared" si="3"/>
        <v>177.63519759721021</v>
      </c>
      <c r="N26" s="29">
        <f t="shared" ref="N26" si="29">I25*O$4*(A26-A25+1)/360</f>
        <v>183.33333333333334</v>
      </c>
      <c r="O26" s="30">
        <f t="shared" si="4"/>
        <v>-5.6981357361231346</v>
      </c>
      <c r="P26" s="43">
        <v>0</v>
      </c>
      <c r="Q26" s="44">
        <f>M26/H24</f>
        <v>6.3275165914584621E-3</v>
      </c>
      <c r="R26" s="33"/>
      <c r="S26" s="2">
        <f>N25+N26-D26</f>
        <v>552.77777777777783</v>
      </c>
      <c r="T26" s="7">
        <f>O26+O25</f>
        <v>40.544961636663658</v>
      </c>
      <c r="U26" s="7">
        <f>M25+M26</f>
        <v>593.32273941444146</v>
      </c>
      <c r="V26" s="45" t="e">
        <f>N26-#REF!</f>
        <v>#REF!</v>
      </c>
      <c r="W26" s="7" t="e">
        <f>J26-#REF!</f>
        <v>#REF!</v>
      </c>
      <c r="X26" s="7"/>
      <c r="Z26" s="115">
        <v>41182</v>
      </c>
      <c r="AA26" s="128">
        <f t="shared" si="7"/>
        <v>0</v>
      </c>
      <c r="AB26" s="125"/>
      <c r="AC26" s="125"/>
      <c r="AD26" s="129"/>
      <c r="AE26" s="130">
        <f>(XNPV(AQ$6,AA26:AA$37,Z26:Z$37))</f>
        <v>38430.887418460858</v>
      </c>
      <c r="AF26" s="120">
        <f t="shared" si="13"/>
        <v>38430.887418460865</v>
      </c>
      <c r="AG26" s="131">
        <f t="shared" si="11"/>
        <v>24000</v>
      </c>
      <c r="AH26" s="131">
        <f t="shared" si="19"/>
        <v>16000</v>
      </c>
      <c r="AI26" s="125">
        <f t="shared" si="14"/>
        <v>183.33333333333334</v>
      </c>
      <c r="AJ26" s="132">
        <f t="shared" si="25"/>
        <v>1636.1100000000001</v>
      </c>
      <c r="AK26" s="132">
        <f t="shared" si="20"/>
        <v>625</v>
      </c>
      <c r="AL26" s="132">
        <f t="shared" si="15"/>
        <v>-119.34201566488798</v>
      </c>
      <c r="AM26" s="133">
        <f t="shared" si="21"/>
        <v>-3894.2138992075879</v>
      </c>
      <c r="AN26" s="124"/>
      <c r="AO26" s="125">
        <f t="shared" si="16"/>
        <v>183.33333333333334</v>
      </c>
      <c r="AP26" s="131">
        <f t="shared" si="22"/>
        <v>111.11111111111111</v>
      </c>
      <c r="AQ26" s="126">
        <f t="shared" si="17"/>
        <v>-5.6981357361231346</v>
      </c>
      <c r="AR26" s="134">
        <f t="shared" si="23"/>
        <v>-5.0577804714389458</v>
      </c>
    </row>
    <row r="27" spans="1:44">
      <c r="A27" s="18">
        <v>41202</v>
      </c>
      <c r="B27" s="37">
        <f t="shared" si="5"/>
        <v>4500</v>
      </c>
      <c r="C27" s="29">
        <v>4000</v>
      </c>
      <c r="D27" s="29">
        <f>I25*O$4*(A27-A25)/360</f>
        <v>500</v>
      </c>
      <c r="E27" s="38"/>
      <c r="F27" s="39"/>
      <c r="G27" s="47"/>
      <c r="H27" s="24">
        <f>(XNPV($O$6,B27:$B$37,A27:$A$37)-B27)*((1+$O$6)^(1/365))</f>
        <v>19919.899225879293</v>
      </c>
      <c r="I27" s="41">
        <f t="shared" si="2"/>
        <v>20000</v>
      </c>
      <c r="J27" s="29">
        <f t="shared" si="0"/>
        <v>0</v>
      </c>
      <c r="K27" s="42">
        <f t="shared" si="1"/>
        <v>-80.100774120707285</v>
      </c>
      <c r="L27" s="33">
        <f t="shared" si="8"/>
        <v>0</v>
      </c>
      <c r="M27" s="28">
        <f t="shared" si="3"/>
        <v>355.90790821084738</v>
      </c>
      <c r="N27" s="29">
        <f t="shared" ref="N27" si="30">I26*O$4*(A27-A26-1)/360</f>
        <v>316.66666666666669</v>
      </c>
      <c r="O27" s="30">
        <f t="shared" si="4"/>
        <v>39.241241544180696</v>
      </c>
      <c r="P27" s="43">
        <v>0</v>
      </c>
      <c r="Q27" s="44"/>
      <c r="R27" s="33"/>
      <c r="V27" s="45" t="e">
        <f>N27-#REF!</f>
        <v>#REF!</v>
      </c>
      <c r="W27" s="7" t="e">
        <f>J27-#REF!</f>
        <v>#REF!</v>
      </c>
      <c r="X27" s="7">
        <f>ROUND((O26+O27),2)</f>
        <v>33.54</v>
      </c>
      <c r="Y27" s="46" t="s">
        <v>28</v>
      </c>
      <c r="Z27" s="115">
        <v>41202</v>
      </c>
      <c r="AA27" s="128">
        <f t="shared" si="7"/>
        <v>0</v>
      </c>
      <c r="AB27" s="125"/>
      <c r="AC27" s="125"/>
      <c r="AD27" s="129"/>
      <c r="AE27" s="130">
        <f>(XNPV(AQ$6,AA27:AA$37,Z27:Z$37))</f>
        <v>39004.609266902415</v>
      </c>
      <c r="AF27" s="120">
        <f t="shared" si="13"/>
        <v>39004.609266902415</v>
      </c>
      <c r="AG27" s="131">
        <f t="shared" si="11"/>
        <v>20000</v>
      </c>
      <c r="AH27" s="131">
        <f t="shared" si="19"/>
        <v>20000</v>
      </c>
      <c r="AI27" s="125">
        <f t="shared" si="14"/>
        <v>0</v>
      </c>
      <c r="AJ27" s="132">
        <f t="shared" si="25"/>
        <v>1819.4433333333334</v>
      </c>
      <c r="AK27" s="132">
        <f t="shared" si="20"/>
        <v>847.22222222222217</v>
      </c>
      <c r="AL27" s="132">
        <f t="shared" si="15"/>
        <v>-80.100774120707285</v>
      </c>
      <c r="AM27" s="133">
        <f t="shared" si="21"/>
        <v>-3581.9555145324339</v>
      </c>
      <c r="AN27" s="124"/>
      <c r="AO27" s="125">
        <f t="shared" si="16"/>
        <v>316.66666666666669</v>
      </c>
      <c r="AP27" s="131">
        <f t="shared" si="22"/>
        <v>222.22222222222223</v>
      </c>
      <c r="AQ27" s="126">
        <f t="shared" si="17"/>
        <v>39.241241544180696</v>
      </c>
      <c r="AR27" s="134">
        <f t="shared" si="23"/>
        <v>312.25838467515405</v>
      </c>
    </row>
    <row r="28" spans="1:44">
      <c r="A28" s="18">
        <v>41213</v>
      </c>
      <c r="B28" s="37">
        <f t="shared" si="5"/>
        <v>0</v>
      </c>
      <c r="C28" s="29"/>
      <c r="D28" s="29">
        <v>0</v>
      </c>
      <c r="E28" s="38"/>
      <c r="F28" s="39"/>
      <c r="G28" s="47"/>
      <c r="H28" s="24">
        <f>(XNPV($O$6,B28:$B$37,A28:$A$37)-B28)*((1+$O$6)^(1/365))</f>
        <v>20082.911399837532</v>
      </c>
      <c r="I28" s="41">
        <f t="shared" si="2"/>
        <v>20000</v>
      </c>
      <c r="J28" s="29">
        <f t="shared" si="0"/>
        <v>166.66666666666666</v>
      </c>
      <c r="K28" s="42">
        <f t="shared" si="1"/>
        <v>-83.755266829134797</v>
      </c>
      <c r="L28" s="33">
        <f t="shared" si="8"/>
        <v>0</v>
      </c>
      <c r="M28" s="28">
        <f t="shared" si="3"/>
        <v>163.01217395823915</v>
      </c>
      <c r="N28" s="29">
        <f t="shared" ref="N28" si="31">I27*O$4*(A28-A27+1)/360</f>
        <v>166.66666666666666</v>
      </c>
      <c r="O28" s="30">
        <f t="shared" si="4"/>
        <v>-3.6544927084275116</v>
      </c>
      <c r="P28" s="43">
        <v>0</v>
      </c>
      <c r="Q28" s="44">
        <f>M28/H26</f>
        <v>6.7741120667106922E-3</v>
      </c>
      <c r="R28" s="33"/>
      <c r="S28" s="2">
        <f>N27+N28-D28</f>
        <v>483.33333333333337</v>
      </c>
      <c r="T28" s="7">
        <f>O28+O27</f>
        <v>35.586748835753184</v>
      </c>
      <c r="U28" s="7">
        <f>M27+M28</f>
        <v>518.92008216908653</v>
      </c>
      <c r="V28" s="45" t="e">
        <f>N28-#REF!</f>
        <v>#REF!</v>
      </c>
      <c r="W28" s="7" t="e">
        <f>J28-#REF!</f>
        <v>#REF!</v>
      </c>
      <c r="X28" s="7"/>
      <c r="Z28" s="115">
        <v>41213</v>
      </c>
      <c r="AA28" s="128">
        <f t="shared" si="7"/>
        <v>0</v>
      </c>
      <c r="AB28" s="125"/>
      <c r="AC28" s="125"/>
      <c r="AD28" s="129"/>
      <c r="AE28" s="130">
        <f>(XNPV(AQ$6,AA28:AA$37,Z28:Z$37))</f>
        <v>39323.798941453038</v>
      </c>
      <c r="AF28" s="120">
        <f t="shared" si="13"/>
        <v>39323.798941453038</v>
      </c>
      <c r="AG28" s="131">
        <f t="shared" si="11"/>
        <v>20000</v>
      </c>
      <c r="AH28" s="131">
        <f t="shared" si="19"/>
        <v>20000</v>
      </c>
      <c r="AI28" s="125">
        <f t="shared" si="14"/>
        <v>166.66666666666666</v>
      </c>
      <c r="AJ28" s="132">
        <f t="shared" si="25"/>
        <v>1819.4433333333334</v>
      </c>
      <c r="AK28" s="132">
        <f t="shared" si="20"/>
        <v>1000</v>
      </c>
      <c r="AL28" s="132">
        <f t="shared" si="15"/>
        <v>-83.755266829134797</v>
      </c>
      <c r="AM28" s="133">
        <f t="shared" si="21"/>
        <v>-3578.5557917178271</v>
      </c>
      <c r="AN28" s="124"/>
      <c r="AO28" s="125">
        <f t="shared" si="16"/>
        <v>166.66666666666666</v>
      </c>
      <c r="AP28" s="131">
        <f t="shared" si="22"/>
        <v>152.77777777777777</v>
      </c>
      <c r="AQ28" s="126">
        <f t="shared" si="17"/>
        <v>-3.6544927084275116</v>
      </c>
      <c r="AR28" s="134">
        <f t="shared" si="23"/>
        <v>3.3997228146067755</v>
      </c>
    </row>
    <row r="29" spans="1:44">
      <c r="A29" s="18">
        <v>41233</v>
      </c>
      <c r="B29" s="37">
        <f t="shared" si="5"/>
        <v>4430.5555555555557</v>
      </c>
      <c r="C29" s="29">
        <v>4000</v>
      </c>
      <c r="D29" s="29">
        <f>I27*O$4*(A29-A27)/360</f>
        <v>430.55555555555554</v>
      </c>
      <c r="E29" s="38"/>
      <c r="F29" s="39"/>
      <c r="G29" s="47"/>
      <c r="H29" s="24">
        <f>(XNPV($O$6,B29:$B$37,A29:$A$37)-B29)*((1+$O$6)^(1/365))</f>
        <v>15948.883015191403</v>
      </c>
      <c r="I29" s="41">
        <f t="shared" si="2"/>
        <v>16000</v>
      </c>
      <c r="J29" s="29">
        <f t="shared" si="0"/>
        <v>0</v>
      </c>
      <c r="K29" s="42">
        <f t="shared" si="1"/>
        <v>-51.116984808597834</v>
      </c>
      <c r="L29" s="33">
        <f t="shared" si="8"/>
        <v>0</v>
      </c>
      <c r="M29" s="28">
        <f t="shared" si="3"/>
        <v>296.52717090942588</v>
      </c>
      <c r="N29" s="29">
        <f t="shared" ref="N29" si="32">I28*O$4*(A29-A28-1)/360</f>
        <v>263.88888888888891</v>
      </c>
      <c r="O29" s="30">
        <f t="shared" si="4"/>
        <v>32.638282020536963</v>
      </c>
      <c r="P29" s="43">
        <v>0</v>
      </c>
      <c r="Q29" s="44"/>
      <c r="R29" s="33"/>
      <c r="V29" s="45" t="e">
        <f>N29-#REF!</f>
        <v>#REF!</v>
      </c>
      <c r="W29" s="7" t="e">
        <f>J29-#REF!</f>
        <v>#REF!</v>
      </c>
      <c r="X29" s="7">
        <f>ROUND((O28+O29),2)</f>
        <v>28.98</v>
      </c>
      <c r="Y29" s="46" t="s">
        <v>28</v>
      </c>
      <c r="Z29" s="115">
        <v>41233</v>
      </c>
      <c r="AA29" s="128">
        <f t="shared" si="7"/>
        <v>0</v>
      </c>
      <c r="AB29" s="125"/>
      <c r="AC29" s="125"/>
      <c r="AD29" s="129"/>
      <c r="AE29" s="130">
        <f>(XNPV(AQ$6,AA29:AA$37,Z29:Z$37))</f>
        <v>39910.850767000979</v>
      </c>
      <c r="AF29" s="120">
        <f t="shared" si="13"/>
        <v>39910.850767000979</v>
      </c>
      <c r="AG29" s="131">
        <f t="shared" si="11"/>
        <v>16000</v>
      </c>
      <c r="AH29" s="131">
        <f t="shared" si="19"/>
        <v>24000</v>
      </c>
      <c r="AI29" s="125">
        <f t="shared" si="14"/>
        <v>0</v>
      </c>
      <c r="AJ29" s="132">
        <f t="shared" si="25"/>
        <v>1986.1100000000001</v>
      </c>
      <c r="AK29" s="132">
        <f t="shared" si="20"/>
        <v>1277.7777777777778</v>
      </c>
      <c r="AL29" s="132">
        <f t="shared" si="15"/>
        <v>-51.116984808597834</v>
      </c>
      <c r="AM29" s="133">
        <f t="shared" si="21"/>
        <v>-3301.9200259682016</v>
      </c>
      <c r="AN29" s="124"/>
      <c r="AO29" s="125">
        <f t="shared" si="16"/>
        <v>263.88888888888891</v>
      </c>
      <c r="AP29" s="131">
        <f t="shared" si="22"/>
        <v>277.77777777777777</v>
      </c>
      <c r="AQ29" s="126">
        <f t="shared" si="17"/>
        <v>32.638282020536963</v>
      </c>
      <c r="AR29" s="134">
        <f t="shared" si="23"/>
        <v>276.63576574962553</v>
      </c>
    </row>
    <row r="30" spans="1:44">
      <c r="A30" s="18">
        <v>41243</v>
      </c>
      <c r="B30" s="37">
        <f t="shared" si="5"/>
        <v>0</v>
      </c>
      <c r="C30" s="29"/>
      <c r="D30" s="29">
        <v>0</v>
      </c>
      <c r="E30" s="38"/>
      <c r="F30" s="39"/>
      <c r="G30" s="47"/>
      <c r="H30" s="24">
        <f>(XNPV($O$6,B30:$B$37,A30:$A$37)-B30)*((1+$O$6)^(1/365))</f>
        <v>16067.489761721388</v>
      </c>
      <c r="I30" s="41">
        <f t="shared" si="2"/>
        <v>16000</v>
      </c>
      <c r="J30" s="29">
        <f t="shared" si="0"/>
        <v>122.22222222222223</v>
      </c>
      <c r="K30" s="42">
        <f t="shared" si="1"/>
        <v>-54.732460500834378</v>
      </c>
      <c r="L30" s="33">
        <f t="shared" si="8"/>
        <v>0</v>
      </c>
      <c r="M30" s="28">
        <f t="shared" si="3"/>
        <v>118.60674652998568</v>
      </c>
      <c r="N30" s="29">
        <f t="shared" ref="N30" si="33">I29*O$4*(A30-A29+1)/360</f>
        <v>122.22222222222223</v>
      </c>
      <c r="O30" s="30">
        <f t="shared" si="4"/>
        <v>-3.6154756922365436</v>
      </c>
      <c r="P30" s="43">
        <v>0</v>
      </c>
      <c r="Q30" s="44">
        <f>M30/H28</f>
        <v>5.9058541945738599E-3</v>
      </c>
      <c r="R30" s="33"/>
      <c r="S30" s="2">
        <f>N29+N30-D30</f>
        <v>386.11111111111114</v>
      </c>
      <c r="T30" s="7">
        <f>O30+O29</f>
        <v>29.022806328300419</v>
      </c>
      <c r="U30" s="7">
        <f>M29+M30</f>
        <v>415.13391743941156</v>
      </c>
      <c r="V30" s="45" t="e">
        <f>N30-#REF!</f>
        <v>#REF!</v>
      </c>
      <c r="W30" s="7" t="e">
        <f>J30-#REF!</f>
        <v>#REF!</v>
      </c>
      <c r="X30" s="7"/>
      <c r="Z30" s="115">
        <v>41243</v>
      </c>
      <c r="AA30" s="128">
        <f t="shared" si="7"/>
        <v>0</v>
      </c>
      <c r="AB30" s="125"/>
      <c r="AC30" s="125"/>
      <c r="AD30" s="129"/>
      <c r="AE30" s="130">
        <f>(XNPV(AQ$6,AA30:AA$37,Z30:Z$37))</f>
        <v>40207.655010671777</v>
      </c>
      <c r="AF30" s="120">
        <f t="shared" si="13"/>
        <v>40207.655010671777</v>
      </c>
      <c r="AG30" s="131">
        <f t="shared" si="11"/>
        <v>16000</v>
      </c>
      <c r="AH30" s="131">
        <f t="shared" si="19"/>
        <v>24000</v>
      </c>
      <c r="AI30" s="125">
        <f t="shared" si="14"/>
        <v>122.22222222222223</v>
      </c>
      <c r="AJ30" s="132">
        <f t="shared" si="25"/>
        <v>1986.1100000000001</v>
      </c>
      <c r="AK30" s="132">
        <f t="shared" si="20"/>
        <v>1444.4444444444446</v>
      </c>
      <c r="AL30" s="132">
        <f t="shared" si="15"/>
        <v>-54.732460500834378</v>
      </c>
      <c r="AM30" s="133">
        <f t="shared" si="21"/>
        <v>-3290.3891954940555</v>
      </c>
      <c r="AN30" s="124"/>
      <c r="AO30" s="125">
        <f t="shared" si="16"/>
        <v>122.22222222222223</v>
      </c>
      <c r="AP30" s="131">
        <f t="shared" si="22"/>
        <v>166.66666666666666</v>
      </c>
      <c r="AQ30" s="126">
        <f t="shared" si="17"/>
        <v>-3.6154756922365436</v>
      </c>
      <c r="AR30" s="134">
        <f t="shared" si="23"/>
        <v>11.530830474146114</v>
      </c>
    </row>
    <row r="31" spans="1:44">
      <c r="A31" s="18">
        <v>41263</v>
      </c>
      <c r="B31" s="37">
        <f t="shared" si="5"/>
        <v>4333.333333333333</v>
      </c>
      <c r="C31" s="29">
        <v>4000</v>
      </c>
      <c r="D31" s="29">
        <f>I29*O$4*(A31-A29)/360</f>
        <v>333.33333333333331</v>
      </c>
      <c r="E31" s="38"/>
      <c r="F31" s="39"/>
      <c r="G31" s="47"/>
      <c r="H31" s="24">
        <f>(XNPV($O$6,B31:$B$37,A31:$A$37)-B31)*((1+$O$6)^(1/365))</f>
        <v>11970.810774593634</v>
      </c>
      <c r="I31" s="41">
        <f t="shared" si="2"/>
        <v>12000</v>
      </c>
      <c r="J31" s="29">
        <f t="shared" si="0"/>
        <v>0</v>
      </c>
      <c r="K31" s="42">
        <f t="shared" si="1"/>
        <v>-29.189225406366688</v>
      </c>
      <c r="L31" s="33">
        <f t="shared" si="8"/>
        <v>0</v>
      </c>
      <c r="M31" s="28">
        <f t="shared" si="3"/>
        <v>236.6543462055788</v>
      </c>
      <c r="N31" s="29">
        <f t="shared" ref="N31" si="34">I30*O$4*(A31-A30-1)/360</f>
        <v>211.11111111111111</v>
      </c>
      <c r="O31" s="30">
        <f t="shared" si="4"/>
        <v>25.54323509446769</v>
      </c>
      <c r="P31" s="43">
        <v>0</v>
      </c>
      <c r="Q31" s="44"/>
      <c r="R31" s="33"/>
      <c r="V31" s="45" t="e">
        <f>N31-#REF!</f>
        <v>#REF!</v>
      </c>
      <c r="W31" s="7" t="e">
        <f>J31-#REF!</f>
        <v>#REF!</v>
      </c>
      <c r="X31" s="7">
        <f>ROUND((O30+O31),2)</f>
        <v>21.93</v>
      </c>
      <c r="Y31" s="46" t="s">
        <v>28</v>
      </c>
      <c r="Z31" s="115">
        <v>41263</v>
      </c>
      <c r="AA31" s="128">
        <f t="shared" si="7"/>
        <v>0</v>
      </c>
      <c r="AB31" s="125"/>
      <c r="AC31" s="125"/>
      <c r="AD31" s="129"/>
      <c r="AE31" s="130">
        <f>(XNPV(AQ$6,AA31:AA$37,Z31:Z$37))</f>
        <v>40807.90162748922</v>
      </c>
      <c r="AF31" s="120">
        <f t="shared" si="13"/>
        <v>40807.90162748922</v>
      </c>
      <c r="AG31" s="131">
        <f t="shared" si="11"/>
        <v>12000</v>
      </c>
      <c r="AH31" s="131">
        <f t="shared" si="19"/>
        <v>28000</v>
      </c>
      <c r="AI31" s="125">
        <f t="shared" si="14"/>
        <v>0</v>
      </c>
      <c r="AJ31" s="132">
        <f t="shared" si="25"/>
        <v>2108.3322222222223</v>
      </c>
      <c r="AK31" s="132">
        <f t="shared" si="20"/>
        <v>1777.7777777777778</v>
      </c>
      <c r="AL31" s="132">
        <f t="shared" si="15"/>
        <v>-29.189225406366688</v>
      </c>
      <c r="AM31" s="133">
        <f t="shared" si="21"/>
        <v>-3049.0191471044132</v>
      </c>
      <c r="AN31" s="124"/>
      <c r="AO31" s="125">
        <f t="shared" si="16"/>
        <v>211.11111111111111</v>
      </c>
      <c r="AP31" s="131">
        <f t="shared" si="22"/>
        <v>333.33333333333331</v>
      </c>
      <c r="AQ31" s="126">
        <f t="shared" si="17"/>
        <v>25.54323509446769</v>
      </c>
      <c r="AR31" s="134">
        <f t="shared" si="23"/>
        <v>241.37004838964231</v>
      </c>
    </row>
    <row r="32" spans="1:44">
      <c r="A32" s="18">
        <v>41274</v>
      </c>
      <c r="B32" s="37">
        <f t="shared" si="5"/>
        <v>0</v>
      </c>
      <c r="C32" s="29"/>
      <c r="D32" s="29">
        <v>0</v>
      </c>
      <c r="E32" s="38"/>
      <c r="F32" s="39"/>
      <c r="G32" s="47"/>
      <c r="H32" s="24">
        <f>(XNPV($O$6,B32:$B$37,A32:$A$37)-B32)*((1+$O$6)^(1/365))</f>
        <v>12068.772509554326</v>
      </c>
      <c r="I32" s="41">
        <f t="shared" si="2"/>
        <v>12000</v>
      </c>
      <c r="J32" s="29">
        <f t="shared" si="0"/>
        <v>100</v>
      </c>
      <c r="K32" s="42">
        <f t="shared" si="1"/>
        <v>-31.227490445674277</v>
      </c>
      <c r="L32" s="33">
        <f t="shared" si="8"/>
        <v>0</v>
      </c>
      <c r="M32" s="28">
        <f t="shared" si="3"/>
        <v>97.961734960692411</v>
      </c>
      <c r="N32" s="29">
        <f t="shared" ref="N32" si="35">I31*O$4*(A32-A31+1)/360</f>
        <v>100</v>
      </c>
      <c r="O32" s="30">
        <f t="shared" si="4"/>
        <v>-2.0382650393075892</v>
      </c>
      <c r="P32" s="43">
        <v>0</v>
      </c>
      <c r="Q32" s="44">
        <f>M32/H30</f>
        <v>6.0968910771658268E-3</v>
      </c>
      <c r="R32" s="33"/>
      <c r="S32" s="2">
        <f>N31+N32-D32</f>
        <v>311.11111111111109</v>
      </c>
      <c r="T32" s="7">
        <f>O32+O31</f>
        <v>23.504970055160101</v>
      </c>
      <c r="U32" s="7">
        <f>M31+M32</f>
        <v>334.61608116627121</v>
      </c>
      <c r="V32" s="45" t="e">
        <f>N32-#REF!</f>
        <v>#REF!</v>
      </c>
      <c r="W32" s="7" t="e">
        <f>J32-#REF!</f>
        <v>#REF!</v>
      </c>
      <c r="X32" s="7"/>
      <c r="Z32" s="115">
        <v>41274</v>
      </c>
      <c r="AA32" s="128">
        <f t="shared" si="7"/>
        <v>0</v>
      </c>
      <c r="AB32" s="125"/>
      <c r="AC32" s="125"/>
      <c r="AD32" s="129"/>
      <c r="AE32" s="130">
        <f>(XNPV(AQ$6,AA32:AA$37,Z32:Z$37))</f>
        <v>41141.848334926821</v>
      </c>
      <c r="AF32" s="120">
        <f t="shared" si="13"/>
        <v>41141.848334926821</v>
      </c>
      <c r="AG32" s="131">
        <f t="shared" si="11"/>
        <v>12000</v>
      </c>
      <c r="AH32" s="131">
        <f t="shared" si="19"/>
        <v>28000</v>
      </c>
      <c r="AI32" s="125">
        <f t="shared" si="14"/>
        <v>100</v>
      </c>
      <c r="AJ32" s="132">
        <f t="shared" si="25"/>
        <v>2108.3322222222223</v>
      </c>
      <c r="AK32" s="132">
        <f t="shared" si="20"/>
        <v>1991.6666666666667</v>
      </c>
      <c r="AL32" s="132">
        <f t="shared" si="15"/>
        <v>-31.227490445674277</v>
      </c>
      <c r="AM32" s="133">
        <f t="shared" si="21"/>
        <v>-3026.923063516394</v>
      </c>
      <c r="AN32" s="124"/>
      <c r="AO32" s="125">
        <f t="shared" si="16"/>
        <v>100</v>
      </c>
      <c r="AP32" s="131">
        <f t="shared" si="22"/>
        <v>213.88888888888889</v>
      </c>
      <c r="AQ32" s="126">
        <f t="shared" si="17"/>
        <v>-2.0382650393075892</v>
      </c>
      <c r="AR32" s="134">
        <f t="shared" si="23"/>
        <v>22.096083588019155</v>
      </c>
    </row>
    <row r="33" spans="1:44">
      <c r="A33" s="18">
        <v>41294</v>
      </c>
      <c r="B33" s="37">
        <f t="shared" si="5"/>
        <v>4258.333333333333</v>
      </c>
      <c r="C33" s="29">
        <v>4000</v>
      </c>
      <c r="D33" s="29">
        <f>I31*O$4*(A33-A31)/360</f>
        <v>258.33333333333331</v>
      </c>
      <c r="E33" s="38"/>
      <c r="F33" s="39"/>
      <c r="G33" s="47"/>
      <c r="H33" s="24">
        <f>(XNPV($O$6,B33:$B$37,A33:$A$37)-B33)*((1+$O$6)^(1/365))</f>
        <v>7987.4536009951353</v>
      </c>
      <c r="I33" s="41">
        <f t="shared" si="2"/>
        <v>8000</v>
      </c>
      <c r="J33" s="29">
        <f t="shared" si="0"/>
        <v>0</v>
      </c>
      <c r="K33" s="42">
        <f t="shared" si="1"/>
        <v>-12.546399004865776</v>
      </c>
      <c r="L33" s="33">
        <f t="shared" si="8"/>
        <v>0</v>
      </c>
      <c r="M33" s="28">
        <f t="shared" si="3"/>
        <v>177.01442477414184</v>
      </c>
      <c r="N33" s="29">
        <f t="shared" ref="N33" si="36">I32*O$4*(A33-A32-1)/360</f>
        <v>158.33333333333334</v>
      </c>
      <c r="O33" s="30">
        <f t="shared" si="4"/>
        <v>18.681091440808501</v>
      </c>
      <c r="P33" s="43">
        <v>0</v>
      </c>
      <c r="Q33" s="44"/>
      <c r="R33" s="33"/>
      <c r="V33" s="45" t="e">
        <f>N33-#REF!</f>
        <v>#REF!</v>
      </c>
      <c r="W33" s="7" t="e">
        <f>J33-#REF!</f>
        <v>#REF!</v>
      </c>
      <c r="X33" s="7">
        <f>ROUND((O32+O33),2)</f>
        <v>16.64</v>
      </c>
      <c r="Y33" s="46" t="s">
        <v>28</v>
      </c>
      <c r="Z33" s="115">
        <v>41294</v>
      </c>
      <c r="AA33" s="128">
        <f t="shared" si="7"/>
        <v>0</v>
      </c>
      <c r="AB33" s="125"/>
      <c r="AC33" s="125"/>
      <c r="AD33" s="129"/>
      <c r="AE33" s="130">
        <f>(XNPV(AQ$6,AA33:AA$37,Z33:Z$37))</f>
        <v>41756.04121103714</v>
      </c>
      <c r="AF33" s="120">
        <f t="shared" si="13"/>
        <v>41756.041211037133</v>
      </c>
      <c r="AG33" s="131">
        <f t="shared" si="11"/>
        <v>8000</v>
      </c>
      <c r="AH33" s="131">
        <f t="shared" si="19"/>
        <v>32000</v>
      </c>
      <c r="AI33" s="125">
        <f t="shared" si="14"/>
        <v>0</v>
      </c>
      <c r="AJ33" s="132">
        <f t="shared" si="25"/>
        <v>2208.3322222222223</v>
      </c>
      <c r="AK33" s="132">
        <f t="shared" si="20"/>
        <v>2380.5555555555557</v>
      </c>
      <c r="AL33" s="132">
        <f t="shared" si="15"/>
        <v>-12.546399004865776</v>
      </c>
      <c r="AM33" s="133">
        <f t="shared" si="21"/>
        <v>-2820.3001677357724</v>
      </c>
      <c r="AN33" s="124"/>
      <c r="AO33" s="125">
        <f t="shared" si="16"/>
        <v>158.33333333333334</v>
      </c>
      <c r="AP33" s="131">
        <f t="shared" si="22"/>
        <v>388.88888888888891</v>
      </c>
      <c r="AQ33" s="126">
        <f t="shared" si="17"/>
        <v>18.681091440808501</v>
      </c>
      <c r="AR33" s="134">
        <f t="shared" si="23"/>
        <v>206.62289578062155</v>
      </c>
    </row>
    <row r="34" spans="1:44">
      <c r="A34" s="18">
        <v>41305</v>
      </c>
      <c r="B34" s="37">
        <f t="shared" si="5"/>
        <v>0</v>
      </c>
      <c r="C34" s="29"/>
      <c r="D34" s="29">
        <v>0</v>
      </c>
      <c r="E34" s="38"/>
      <c r="F34" s="39"/>
      <c r="G34" s="47"/>
      <c r="H34" s="24">
        <f>(XNPV($O$6,B34:$B$37,A34:$A$37)-B34)*((1+$O$6)^(1/365))</f>
        <v>8052.8179967244687</v>
      </c>
      <c r="I34" s="41">
        <f t="shared" si="2"/>
        <v>8000</v>
      </c>
      <c r="J34" s="29">
        <f t="shared" si="0"/>
        <v>66.666666666666671</v>
      </c>
      <c r="K34" s="42">
        <f t="shared" si="1"/>
        <v>-13.848669942199038</v>
      </c>
      <c r="L34" s="33">
        <f t="shared" si="8"/>
        <v>0</v>
      </c>
      <c r="M34" s="28">
        <f t="shared" si="3"/>
        <v>65.36439572933341</v>
      </c>
      <c r="N34" s="29">
        <f t="shared" ref="N34" si="37">I33*O$4*(A34-A33+1)/360</f>
        <v>66.666666666666671</v>
      </c>
      <c r="O34" s="30">
        <f t="shared" si="4"/>
        <v>-1.3022709373332617</v>
      </c>
      <c r="P34" s="43">
        <v>0</v>
      </c>
      <c r="Q34" s="44">
        <f>M34/H32</f>
        <v>5.4159936876419902E-3</v>
      </c>
      <c r="R34" s="33"/>
      <c r="S34" s="2">
        <f>N33+N34-D34</f>
        <v>225</v>
      </c>
      <c r="T34" s="7">
        <f>O34+O33</f>
        <v>17.378820503475239</v>
      </c>
      <c r="U34" s="7">
        <f>M33+M34</f>
        <v>242.37882050347525</v>
      </c>
      <c r="V34" s="45" t="e">
        <f>N34-#REF!</f>
        <v>#REF!</v>
      </c>
      <c r="W34" s="7" t="e">
        <f>J34-#REF!</f>
        <v>#REF!</v>
      </c>
      <c r="X34" s="7"/>
      <c r="Z34" s="115">
        <v>41305</v>
      </c>
      <c r="AA34" s="128">
        <f t="shared" si="7"/>
        <v>0</v>
      </c>
      <c r="AB34" s="125"/>
      <c r="AC34" s="125"/>
      <c r="AD34" s="129"/>
      <c r="AE34" s="130">
        <f>(XNPV(AQ$6,AA34:AA$37,Z34:Z$37))</f>
        <v>42097.746908265675</v>
      </c>
      <c r="AF34" s="120">
        <f t="shared" si="13"/>
        <v>42097.746908265668</v>
      </c>
      <c r="AG34" s="131">
        <f t="shared" si="11"/>
        <v>8000</v>
      </c>
      <c r="AH34" s="131">
        <f t="shared" si="19"/>
        <v>32000</v>
      </c>
      <c r="AI34" s="125">
        <f t="shared" si="14"/>
        <v>66.666666666666671</v>
      </c>
      <c r="AJ34" s="132">
        <f t="shared" si="25"/>
        <v>2208.3322222222223</v>
      </c>
      <c r="AK34" s="132">
        <f t="shared" si="20"/>
        <v>2625</v>
      </c>
      <c r="AL34" s="132">
        <f t="shared" si="15"/>
        <v>-13.848669942199038</v>
      </c>
      <c r="AM34" s="133">
        <f t="shared" si="21"/>
        <v>-2788.4033106810148</v>
      </c>
      <c r="AN34" s="124"/>
      <c r="AO34" s="125">
        <f t="shared" si="16"/>
        <v>66.666666666666671</v>
      </c>
      <c r="AP34" s="131">
        <f t="shared" si="22"/>
        <v>244.44444444444446</v>
      </c>
      <c r="AQ34" s="126">
        <f t="shared" si="17"/>
        <v>-1.3022709373332617</v>
      </c>
      <c r="AR34" s="134">
        <f t="shared" si="23"/>
        <v>31.896857054757675</v>
      </c>
    </row>
    <row r="35" spans="1:44">
      <c r="A35" s="18">
        <v>41325</v>
      </c>
      <c r="B35" s="37">
        <f t="shared" si="5"/>
        <v>4172.2222222222226</v>
      </c>
      <c r="C35" s="29">
        <v>4000</v>
      </c>
      <c r="D35" s="29">
        <f>I33*O$4*(A35-A33)/360</f>
        <v>172.22222222222223</v>
      </c>
      <c r="E35" s="38"/>
      <c r="F35" s="39"/>
      <c r="G35" s="47"/>
      <c r="H35" s="24">
        <f>(XNPV($O$6,B35:$B$37,A35:$A$37)-B35)*((1+$O$6)^(1/365))</f>
        <v>3997.7211840086838</v>
      </c>
      <c r="I35" s="41">
        <f t="shared" si="2"/>
        <v>4000</v>
      </c>
      <c r="J35" s="29">
        <f t="shared" si="0"/>
        <v>0</v>
      </c>
      <c r="K35" s="42">
        <f t="shared" si="1"/>
        <v>-2.2788159913168045</v>
      </c>
      <c r="L35" s="33">
        <f t="shared" si="8"/>
        <v>0</v>
      </c>
      <c r="M35" s="28">
        <f t="shared" si="3"/>
        <v>117.12540950643779</v>
      </c>
      <c r="N35" s="29">
        <f t="shared" ref="N35" si="38">I34*O$4*(A35-A34-1)/360</f>
        <v>105.55555555555556</v>
      </c>
      <c r="O35" s="30">
        <f t="shared" si="4"/>
        <v>11.569853950882234</v>
      </c>
      <c r="P35" s="43">
        <v>0</v>
      </c>
      <c r="Q35" s="44"/>
      <c r="R35" s="33"/>
      <c r="V35" s="45" t="e">
        <f>N35-#REF!</f>
        <v>#REF!</v>
      </c>
      <c r="W35" s="7" t="e">
        <f>J35-#REF!</f>
        <v>#REF!</v>
      </c>
      <c r="X35" s="7">
        <f>ROUND((O34+O35),2)</f>
        <v>10.27</v>
      </c>
      <c r="Y35" s="46" t="s">
        <v>28</v>
      </c>
      <c r="Z35" s="115">
        <v>41325</v>
      </c>
      <c r="AA35" s="128">
        <f t="shared" si="7"/>
        <v>0</v>
      </c>
      <c r="AB35" s="125"/>
      <c r="AC35" s="125"/>
      <c r="AD35" s="129"/>
      <c r="AE35" s="130">
        <f>(XNPV(AQ$6,AA35:AA$37,Z35:Z$37))</f>
        <v>42726.210074063747</v>
      </c>
      <c r="AF35" s="120">
        <f t="shared" si="13"/>
        <v>42726.210074063747</v>
      </c>
      <c r="AG35" s="131">
        <f t="shared" si="11"/>
        <v>4000</v>
      </c>
      <c r="AH35" s="131">
        <f t="shared" si="19"/>
        <v>36000</v>
      </c>
      <c r="AI35" s="125">
        <f t="shared" si="14"/>
        <v>0</v>
      </c>
      <c r="AJ35" s="132">
        <f t="shared" si="25"/>
        <v>2274.9988888888888</v>
      </c>
      <c r="AK35" s="132">
        <f t="shared" si="20"/>
        <v>3069.4444444444443</v>
      </c>
      <c r="AL35" s="132">
        <f t="shared" si="15"/>
        <v>-2.2788159913168045</v>
      </c>
      <c r="AM35" s="133">
        <f t="shared" si="21"/>
        <v>-2615.9544432782695</v>
      </c>
      <c r="AN35" s="124"/>
      <c r="AO35" s="125">
        <f t="shared" si="16"/>
        <v>105.55555555555556</v>
      </c>
      <c r="AP35" s="131">
        <f t="shared" si="22"/>
        <v>444.44444444444446</v>
      </c>
      <c r="AQ35" s="126">
        <f t="shared" si="17"/>
        <v>11.569853950882234</v>
      </c>
      <c r="AR35" s="134">
        <f t="shared" si="23"/>
        <v>172.44886740274524</v>
      </c>
    </row>
    <row r="36" spans="1:44">
      <c r="A36" s="18">
        <v>41333</v>
      </c>
      <c r="B36" s="37">
        <f t="shared" si="5"/>
        <v>0</v>
      </c>
      <c r="C36" s="29"/>
      <c r="D36" s="29">
        <v>0</v>
      </c>
      <c r="E36" s="38"/>
      <c r="F36" s="39"/>
      <c r="G36" s="47"/>
      <c r="H36" s="24">
        <f>(XNPV($O$6,B36:$B$37,A36:$A$37)-B36)*((1+$O$6)^(1/365))</f>
        <v>4021.4873691226703</v>
      </c>
      <c r="I36" s="41">
        <f t="shared" si="2"/>
        <v>4000</v>
      </c>
      <c r="J36" s="29">
        <f t="shared" si="0"/>
        <v>25</v>
      </c>
      <c r="K36" s="42">
        <f t="shared" si="1"/>
        <v>-3.5126308773303379</v>
      </c>
      <c r="L36" s="33">
        <f t="shared" si="8"/>
        <v>0</v>
      </c>
      <c r="M36" s="28">
        <f t="shared" si="3"/>
        <v>23.766185113986467</v>
      </c>
      <c r="N36" s="29">
        <f t="shared" ref="N36" si="39">I35*O$4*(A36-A35+1)/360</f>
        <v>25</v>
      </c>
      <c r="O36" s="30">
        <f t="shared" si="4"/>
        <v>-1.2338148860135334</v>
      </c>
      <c r="P36" s="43">
        <v>0</v>
      </c>
      <c r="Q36" s="44">
        <f>M36/H34</f>
        <v>2.9512879992635503E-3</v>
      </c>
      <c r="R36" s="33"/>
      <c r="S36" s="2">
        <f>N35+N36-D36</f>
        <v>130.55555555555554</v>
      </c>
      <c r="T36" s="7">
        <f>O36+O35</f>
        <v>10.3360390648687</v>
      </c>
      <c r="U36" s="7">
        <f>M35+M36</f>
        <v>140.89159462042426</v>
      </c>
      <c r="V36" s="45" t="e">
        <f>N36-#REF!</f>
        <v>#REF!</v>
      </c>
      <c r="W36" s="7" t="e">
        <f>J36-#REF!</f>
        <v>#REF!</v>
      </c>
      <c r="X36" s="7"/>
      <c r="Z36" s="115">
        <v>41333</v>
      </c>
      <c r="AA36" s="128">
        <f t="shared" si="7"/>
        <v>0</v>
      </c>
      <c r="AB36" s="125"/>
      <c r="AC36" s="125"/>
      <c r="AD36" s="129"/>
      <c r="AE36" s="130">
        <f>(XNPV(AQ$6,AA36:AA$37,Z36:Z$37))</f>
        <v>42980.214535880928</v>
      </c>
      <c r="AF36" s="120">
        <f t="shared" si="13"/>
        <v>42980.214535880928</v>
      </c>
      <c r="AG36" s="131">
        <f t="shared" si="11"/>
        <v>4000</v>
      </c>
      <c r="AH36" s="131">
        <f t="shared" si="19"/>
        <v>36000</v>
      </c>
      <c r="AI36" s="125">
        <f t="shared" si="14"/>
        <v>25</v>
      </c>
      <c r="AJ36" s="132">
        <f t="shared" si="25"/>
        <v>2274.9988888888888</v>
      </c>
      <c r="AK36" s="132">
        <f>AK35+AP36</f>
        <v>3269.4444444444443</v>
      </c>
      <c r="AL36" s="132">
        <f t="shared" si="15"/>
        <v>-3.5126308773303379</v>
      </c>
      <c r="AM36" s="133">
        <f t="shared" si="21"/>
        <v>-2585.7161665750746</v>
      </c>
      <c r="AN36" s="124"/>
      <c r="AO36" s="125">
        <f t="shared" si="16"/>
        <v>25</v>
      </c>
      <c r="AP36" s="131">
        <f t="shared" si="22"/>
        <v>200</v>
      </c>
      <c r="AQ36" s="126">
        <f t="shared" si="17"/>
        <v>-1.2338148860135334</v>
      </c>
      <c r="AR36" s="134">
        <f t="shared" si="23"/>
        <v>30.23827670319497</v>
      </c>
    </row>
    <row r="37" spans="1:44" ht="15.75" thickBot="1">
      <c r="A37" s="18">
        <v>41350</v>
      </c>
      <c r="B37" s="37">
        <f t="shared" si="5"/>
        <v>4069.4444444444443</v>
      </c>
      <c r="C37" s="29">
        <v>4000</v>
      </c>
      <c r="D37" s="29">
        <f>I35*O$4*(A37-A35)/360</f>
        <v>69.444444444444443</v>
      </c>
      <c r="E37" s="38"/>
      <c r="F37" s="39"/>
      <c r="G37" s="47"/>
      <c r="H37" s="24">
        <f>(XNPV($O$6,B37:$B$37,A37:$A$37)-B37)*((1+$O$6)^(1/365))</f>
        <v>0</v>
      </c>
      <c r="I37" s="41">
        <f t="shared" si="2"/>
        <v>0</v>
      </c>
      <c r="J37" s="29">
        <f t="shared" si="0"/>
        <v>0</v>
      </c>
      <c r="K37" s="42">
        <f t="shared" si="1"/>
        <v>-7.531752999057062E-13</v>
      </c>
      <c r="L37" s="33">
        <f t="shared" si="8"/>
        <v>0</v>
      </c>
      <c r="M37" s="28">
        <f t="shared" si="3"/>
        <v>47.957075321774028</v>
      </c>
      <c r="N37" s="29">
        <f t="shared" ref="N37" si="40">I36*O$4*(A37-A36-1)/360</f>
        <v>44.444444444444443</v>
      </c>
      <c r="O37" s="30">
        <f t="shared" si="4"/>
        <v>3.5126308773295847</v>
      </c>
      <c r="P37" s="43">
        <v>0</v>
      </c>
      <c r="Q37" s="44"/>
      <c r="R37" s="33"/>
      <c r="V37" s="45" t="e">
        <f>N37-#REF!</f>
        <v>#REF!</v>
      </c>
      <c r="W37" s="7" t="e">
        <f>J37-#REF!</f>
        <v>#REF!</v>
      </c>
      <c r="X37" s="7">
        <f>ROUND((O36+O37),2)</f>
        <v>2.2799999999999998</v>
      </c>
      <c r="Y37" s="46" t="s">
        <v>28</v>
      </c>
      <c r="Z37" s="115">
        <v>41350</v>
      </c>
      <c r="AA37" s="128">
        <f t="shared" si="7"/>
        <v>43524.999000000003</v>
      </c>
      <c r="AB37" s="125">
        <f>40000*0.9</f>
        <v>36000</v>
      </c>
      <c r="AC37" s="125">
        <f>(3694.44+4666.67)*0.9</f>
        <v>7524.9990000000007</v>
      </c>
      <c r="AD37" s="129"/>
      <c r="AE37" s="130">
        <f>(XNPV(AQ$6,AA37:AA$37,Z37:Z$37))</f>
        <v>43524.999000000003</v>
      </c>
      <c r="AF37" s="120">
        <f t="shared" si="13"/>
        <v>-7.531752999057062E-13</v>
      </c>
      <c r="AG37" s="131">
        <f t="shared" si="11"/>
        <v>0</v>
      </c>
      <c r="AH37" s="131">
        <v>0</v>
      </c>
      <c r="AI37" s="125">
        <f t="shared" si="14"/>
        <v>0</v>
      </c>
      <c r="AJ37" s="132">
        <v>0</v>
      </c>
      <c r="AK37" s="132">
        <v>0</v>
      </c>
      <c r="AL37" s="132">
        <f t="shared" si="15"/>
        <v>-7.531752999057062E-13</v>
      </c>
      <c r="AM37" s="133">
        <v>0</v>
      </c>
      <c r="AN37" s="124"/>
      <c r="AO37" s="125">
        <f t="shared" si="16"/>
        <v>44.444444444444443</v>
      </c>
      <c r="AP37" s="131">
        <f t="shared" si="22"/>
        <v>425</v>
      </c>
      <c r="AQ37" s="126">
        <f t="shared" si="17"/>
        <v>3.5126308773295847</v>
      </c>
      <c r="AR37" s="134">
        <f t="shared" si="23"/>
        <v>2585.7161665750746</v>
      </c>
    </row>
    <row r="38" spans="1:44" ht="16.5" thickTop="1" thickBot="1">
      <c r="A38" s="48" t="s">
        <v>29</v>
      </c>
      <c r="B38" s="49">
        <f>SUM(B15:B37)</f>
        <v>54716.666666666679</v>
      </c>
      <c r="C38" s="49">
        <f>SUM(C15:C37)</f>
        <v>48000</v>
      </c>
      <c r="D38" s="49">
        <f>SUM(D15:D37)</f>
        <v>6716.6666666666661</v>
      </c>
      <c r="E38" s="50" t="s">
        <v>30</v>
      </c>
      <c r="F38" s="51" t="s">
        <v>30</v>
      </c>
      <c r="G38" s="52"/>
      <c r="H38" s="53" t="s">
        <v>30</v>
      </c>
      <c r="I38" s="54" t="s">
        <v>30</v>
      </c>
      <c r="J38" s="55" t="s">
        <v>30</v>
      </c>
      <c r="K38" s="56" t="s">
        <v>30</v>
      </c>
      <c r="L38" s="54" t="s">
        <v>30</v>
      </c>
      <c r="M38" s="57">
        <f>SUM(M13:M37)</f>
        <v>7196.6666666666661</v>
      </c>
      <c r="N38" s="58">
        <f>SUM(N13:N37)</f>
        <v>6716.666666666667</v>
      </c>
      <c r="O38" s="59">
        <f>SUM(O13:O37)</f>
        <v>479.99999999999903</v>
      </c>
      <c r="P38" s="60">
        <f>SUM(P16:P37)</f>
        <v>0</v>
      </c>
      <c r="Q38" s="61" t="s">
        <v>24</v>
      </c>
      <c r="R38" s="33"/>
      <c r="S38" s="62">
        <f>SUM(S13:S37)</f>
        <v>6205.5555555555566</v>
      </c>
      <c r="X38" s="7"/>
      <c r="Z38" s="135" t="s">
        <v>29</v>
      </c>
      <c r="AA38" s="136">
        <f>SUM(AA15:AA37)</f>
        <v>43524.999000000003</v>
      </c>
      <c r="AB38" s="136">
        <f>SUM(AB15:AB37)</f>
        <v>36000</v>
      </c>
      <c r="AC38" s="136">
        <f>SUM(AC15:AC37)</f>
        <v>7524.9990000000007</v>
      </c>
      <c r="AD38" s="137" t="s">
        <v>30</v>
      </c>
      <c r="AE38" s="138" t="s">
        <v>30</v>
      </c>
      <c r="AF38" s="139" t="s">
        <v>30</v>
      </c>
      <c r="AG38" s="140" t="s">
        <v>30</v>
      </c>
      <c r="AH38" s="140"/>
      <c r="AI38" s="141" t="s">
        <v>30</v>
      </c>
      <c r="AJ38" s="142"/>
      <c r="AK38" s="142"/>
      <c r="AL38" s="142" t="s">
        <v>30</v>
      </c>
      <c r="AM38" s="140" t="s">
        <v>30</v>
      </c>
      <c r="AN38" s="143"/>
      <c r="AO38" s="144">
        <f>SUM(AO13:AO37)</f>
        <v>4333.3333333333339</v>
      </c>
      <c r="AP38" s="144">
        <f>SUM(AP13:AP37)</f>
        <v>3694.4444444444443</v>
      </c>
      <c r="AQ38" s="145">
        <f>SUM(AQ13:AQ37)</f>
        <v>316.88882812857304</v>
      </c>
      <c r="AR38" s="146">
        <f>SUM(AR16:AR37)</f>
        <v>0</v>
      </c>
    </row>
    <row r="39" spans="1:44">
      <c r="C39" s="7"/>
      <c r="D39" s="7"/>
      <c r="N39" s="63"/>
      <c r="O39" s="64"/>
      <c r="P39" s="65"/>
    </row>
    <row r="40" spans="1:44">
      <c r="N40" s="66"/>
      <c r="O40" s="66"/>
      <c r="P40" s="65"/>
      <c r="AE40" s="7"/>
      <c r="AM40" s="7"/>
    </row>
    <row r="41" spans="1:44">
      <c r="N41" s="66"/>
      <c r="O41" s="66"/>
      <c r="P41" s="65"/>
      <c r="AM41" s="7"/>
    </row>
    <row r="42" spans="1:44" ht="15.75" thickBot="1">
      <c r="N42" s="65"/>
      <c r="O42" s="65"/>
      <c r="P42" s="65"/>
      <c r="AM42" s="7"/>
    </row>
    <row r="43" spans="1:44" ht="15.75" thickBot="1">
      <c r="E43" s="67"/>
      <c r="G43" s="68" t="e">
        <f>#REF!-#REF!</f>
        <v>#REF!</v>
      </c>
      <c r="N43" s="65"/>
      <c r="O43" s="65"/>
      <c r="P43" s="65"/>
    </row>
    <row r="44" spans="1:44">
      <c r="G44" s="45" t="e">
        <f>ROUND(NPV(#REF!,#REF!),0)-ROUND(NPV(#REF!,#REF!),0)</f>
        <v>#REF!</v>
      </c>
    </row>
    <row r="45" spans="1:44">
      <c r="G45" s="45" t="e">
        <f>ROUND(NPV(#REF!,#REF!)-NPV(#REF!,#REF!),0)</f>
        <v>#REF!</v>
      </c>
    </row>
    <row r="46" spans="1:44">
      <c r="G46" s="45"/>
    </row>
  </sheetData>
  <mergeCells count="49">
    <mergeCell ref="AR11:AR12"/>
    <mergeCell ref="AE9:AE12"/>
    <mergeCell ref="AF9:AM10"/>
    <mergeCell ref="AN9:AQ10"/>
    <mergeCell ref="AR9:AR10"/>
    <mergeCell ref="AH11:AH12"/>
    <mergeCell ref="AK11:AK12"/>
    <mergeCell ref="AP11:AP12"/>
    <mergeCell ref="AJ11:AJ12"/>
    <mergeCell ref="AI11:AI12"/>
    <mergeCell ref="AL11:AL12"/>
    <mergeCell ref="AM11:AM12"/>
    <mergeCell ref="AB11:AB12"/>
    <mergeCell ref="AD11:AD12"/>
    <mergeCell ref="AF11:AF12"/>
    <mergeCell ref="AG11:AG12"/>
    <mergeCell ref="AQ11:AQ12"/>
    <mergeCell ref="N11:N12"/>
    <mergeCell ref="AO11:AO12"/>
    <mergeCell ref="P11:P12"/>
    <mergeCell ref="A1:O1"/>
    <mergeCell ref="Z1:AQ1"/>
    <mergeCell ref="AA2:AC2"/>
    <mergeCell ref="AF2:AM2"/>
    <mergeCell ref="AO2:AR2"/>
    <mergeCell ref="Z9:Z12"/>
    <mergeCell ref="AA9:AD10"/>
    <mergeCell ref="Q9:Q12"/>
    <mergeCell ref="X9:Y12"/>
    <mergeCell ref="C11:C12"/>
    <mergeCell ref="D11:D12"/>
    <mergeCell ref="E11:E12"/>
    <mergeCell ref="G11:G12"/>
    <mergeCell ref="O11:O12"/>
    <mergeCell ref="AC11:AC12"/>
    <mergeCell ref="N2:P2"/>
    <mergeCell ref="A9:A12"/>
    <mergeCell ref="B9:E10"/>
    <mergeCell ref="F9:F12"/>
    <mergeCell ref="H9:L10"/>
    <mergeCell ref="M9:O10"/>
    <mergeCell ref="P9:P10"/>
    <mergeCell ref="L11:L12"/>
    <mergeCell ref="H11:H12"/>
    <mergeCell ref="I11:I12"/>
    <mergeCell ref="J11:J12"/>
    <mergeCell ref="K11:K12"/>
    <mergeCell ref="B2:D2"/>
    <mergeCell ref="H2:L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AC172"/>
  <sheetViews>
    <sheetView workbookViewId="0">
      <pane xSplit="1" ySplit="12" topLeftCell="B157" activePane="bottomRight" state="frozen"/>
      <selection pane="topRight" activeCell="B1" sqref="B1"/>
      <selection pane="bottomLeft" activeCell="A13" sqref="A13"/>
      <selection pane="bottomRight" activeCell="N163" sqref="N163"/>
    </sheetView>
  </sheetViews>
  <sheetFormatPr defaultRowHeight="15"/>
  <cols>
    <col min="1" max="1" width="12" customWidth="1"/>
    <col min="2" max="3" width="14.7109375" customWidth="1"/>
    <col min="4" max="4" width="13.140625" customWidth="1"/>
    <col min="5" max="5" width="10" customWidth="1"/>
    <col min="6" max="6" width="9.42578125" hidden="1" customWidth="1"/>
    <col min="7" max="7" width="13.85546875" hidden="1" customWidth="1"/>
    <col min="8" max="8" width="13.5703125" customWidth="1"/>
    <col min="9" max="9" width="12.7109375" customWidth="1"/>
    <col min="10" max="10" width="13.42578125" customWidth="1"/>
    <col min="11" max="11" width="12.7109375" customWidth="1"/>
    <col min="12" max="12" width="9.28515625" hidden="1" customWidth="1"/>
    <col min="13" max="13" width="12.28515625" customWidth="1"/>
    <col min="14" max="14" width="16.5703125" customWidth="1"/>
    <col min="15" max="15" width="14.140625" customWidth="1"/>
    <col min="16" max="16" width="11.42578125" hidden="1" customWidth="1"/>
    <col min="17" max="17" width="11.28515625" hidden="1" customWidth="1"/>
    <col min="18" max="18" width="0.7109375" customWidth="1"/>
    <col min="19" max="19" width="12.140625" style="2" hidden="1" customWidth="1"/>
    <col min="20" max="21" width="0" hidden="1" customWidth="1"/>
    <col min="22" max="22" width="11.28515625" hidden="1" customWidth="1"/>
    <col min="23" max="24" width="0" hidden="1" customWidth="1"/>
    <col min="25" max="25" width="49.28515625" hidden="1" customWidth="1"/>
    <col min="26" max="26" width="13.5703125" customWidth="1"/>
    <col min="27" max="27" width="10.140625" customWidth="1"/>
    <col min="29" max="29" width="11.7109375" bestFit="1" customWidth="1"/>
  </cols>
  <sheetData>
    <row r="2" spans="1:29">
      <c r="B2" s="199"/>
      <c r="C2" s="199"/>
      <c r="D2" s="199"/>
      <c r="H2" s="199"/>
      <c r="I2" s="199"/>
      <c r="J2" s="199"/>
      <c r="K2" s="199"/>
      <c r="L2" s="199"/>
      <c r="N2" s="199" t="s">
        <v>0</v>
      </c>
      <c r="O2" s="199"/>
      <c r="P2" s="199"/>
      <c r="Q2" s="1"/>
    </row>
    <row r="3" spans="1:29" ht="4.5" customHeight="1"/>
    <row r="4" spans="1:29">
      <c r="B4" s="3"/>
      <c r="N4" s="3" t="s">
        <v>1</v>
      </c>
      <c r="O4" s="4">
        <v>0.2</v>
      </c>
    </row>
    <row r="5" spans="1:29" ht="4.5" customHeight="1">
      <c r="B5" s="3"/>
    </row>
    <row r="6" spans="1:29">
      <c r="B6" s="3"/>
      <c r="N6" s="3" t="s">
        <v>51</v>
      </c>
      <c r="O6" s="4">
        <f>XIRR(B13:B163,A13:A163)</f>
        <v>0.22834759354591369</v>
      </c>
      <c r="S6" s="5"/>
      <c r="T6" s="6"/>
    </row>
    <row r="7" spans="1:29" ht="4.5" customHeight="1">
      <c r="B7" s="3"/>
    </row>
    <row r="8" spans="1:29" ht="15.75" thickBot="1">
      <c r="C8" s="7"/>
      <c r="D8" s="7"/>
      <c r="H8" s="7"/>
      <c r="I8" s="7"/>
      <c r="N8" s="3" t="s">
        <v>52</v>
      </c>
      <c r="O8" s="191">
        <f>(100%+O6)^(1/365)-100%</f>
        <v>5.6363781510548883E-4</v>
      </c>
    </row>
    <row r="9" spans="1:29" ht="13.5" customHeight="1" thickTop="1">
      <c r="A9" s="200" t="s">
        <v>3</v>
      </c>
      <c r="B9" s="203" t="s">
        <v>4</v>
      </c>
      <c r="C9" s="204"/>
      <c r="D9" s="204"/>
      <c r="E9" s="205"/>
      <c r="F9" s="209" t="s">
        <v>5</v>
      </c>
      <c r="G9" s="185"/>
      <c r="H9" s="212" t="s">
        <v>53</v>
      </c>
      <c r="I9" s="213"/>
      <c r="J9" s="213"/>
      <c r="K9" s="213"/>
      <c r="L9" s="214"/>
      <c r="M9" s="218" t="s">
        <v>54</v>
      </c>
      <c r="N9" s="219"/>
      <c r="O9" s="220"/>
      <c r="P9" s="224" t="s">
        <v>8</v>
      </c>
      <c r="Q9" s="232" t="s">
        <v>9</v>
      </c>
      <c r="R9" s="9"/>
      <c r="X9" s="235" t="s">
        <v>10</v>
      </c>
      <c r="Y9" s="235"/>
    </row>
    <row r="10" spans="1:29" ht="13.5" customHeight="1">
      <c r="A10" s="201"/>
      <c r="B10" s="206"/>
      <c r="C10" s="207"/>
      <c r="D10" s="207"/>
      <c r="E10" s="208"/>
      <c r="F10" s="210"/>
      <c r="G10" s="186"/>
      <c r="H10" s="215"/>
      <c r="I10" s="216"/>
      <c r="J10" s="216"/>
      <c r="K10" s="216"/>
      <c r="L10" s="217"/>
      <c r="M10" s="221"/>
      <c r="N10" s="222"/>
      <c r="O10" s="223"/>
      <c r="P10" s="225"/>
      <c r="Q10" s="233"/>
      <c r="R10" s="9"/>
      <c r="S10" s="11"/>
      <c r="X10" s="235"/>
      <c r="Y10" s="235"/>
    </row>
    <row r="11" spans="1:29" ht="13.5" customHeight="1">
      <c r="A11" s="201"/>
      <c r="B11" s="12"/>
      <c r="C11" s="228" t="s">
        <v>11</v>
      </c>
      <c r="D11" s="228" t="s">
        <v>12</v>
      </c>
      <c r="E11" s="230" t="s">
        <v>13</v>
      </c>
      <c r="F11" s="210"/>
      <c r="G11" s="210" t="s">
        <v>5</v>
      </c>
      <c r="H11" s="236" t="s">
        <v>14</v>
      </c>
      <c r="I11" s="228" t="s">
        <v>11</v>
      </c>
      <c r="J11" s="228" t="s">
        <v>15</v>
      </c>
      <c r="K11" s="228" t="s">
        <v>16</v>
      </c>
      <c r="L11" s="226" t="s">
        <v>17</v>
      </c>
      <c r="M11" s="13"/>
      <c r="N11" s="228" t="s">
        <v>18</v>
      </c>
      <c r="O11" s="238" t="s">
        <v>19</v>
      </c>
      <c r="P11" s="240" t="s">
        <v>20</v>
      </c>
      <c r="Q11" s="233"/>
      <c r="R11" s="9"/>
      <c r="S11" s="14"/>
      <c r="X11" s="235"/>
      <c r="Y11" s="235"/>
    </row>
    <row r="12" spans="1:29" ht="66.75" customHeight="1" thickBot="1">
      <c r="A12" s="202"/>
      <c r="B12" s="15" t="s">
        <v>14</v>
      </c>
      <c r="C12" s="229"/>
      <c r="D12" s="229"/>
      <c r="E12" s="231"/>
      <c r="F12" s="211"/>
      <c r="G12" s="211"/>
      <c r="H12" s="237"/>
      <c r="I12" s="229"/>
      <c r="J12" s="229"/>
      <c r="K12" s="229"/>
      <c r="L12" s="227"/>
      <c r="M12" s="16" t="s">
        <v>21</v>
      </c>
      <c r="N12" s="229"/>
      <c r="O12" s="239"/>
      <c r="P12" s="241"/>
      <c r="Q12" s="234"/>
      <c r="R12" s="17"/>
      <c r="V12" t="s">
        <v>22</v>
      </c>
      <c r="W12" t="s">
        <v>23</v>
      </c>
      <c r="X12" s="235"/>
      <c r="Y12" s="235"/>
      <c r="Z12" s="192" t="s">
        <v>55</v>
      </c>
    </row>
    <row r="13" spans="1:29" ht="16.5" thickTop="1" thickBot="1">
      <c r="A13" s="18">
        <v>43541</v>
      </c>
      <c r="B13" s="19">
        <f>C13+E13</f>
        <v>2970000</v>
      </c>
      <c r="C13" s="20">
        <v>3000000</v>
      </c>
      <c r="D13" s="20"/>
      <c r="E13" s="21">
        <v>-30000</v>
      </c>
      <c r="F13" s="22">
        <f>NPV($O$6,B16:B$163)</f>
        <v>-176112.89864142498</v>
      </c>
      <c r="G13" s="23"/>
      <c r="H13" s="24">
        <f>B13</f>
        <v>2970000</v>
      </c>
      <c r="I13" s="25">
        <f>C13</f>
        <v>3000000</v>
      </c>
      <c r="J13" s="20"/>
      <c r="K13" s="26">
        <f>E13-O13</f>
        <v>-30000</v>
      </c>
      <c r="L13" s="27" t="s">
        <v>24</v>
      </c>
      <c r="M13" s="196"/>
      <c r="N13" s="29"/>
      <c r="O13" s="30"/>
      <c r="P13" s="31" t="s">
        <v>24</v>
      </c>
      <c r="Q13" s="32" t="s">
        <v>24</v>
      </c>
      <c r="R13" s="33"/>
      <c r="S13" s="2">
        <f>N12+N13-D13</f>
        <v>0</v>
      </c>
      <c r="U13" s="34"/>
      <c r="X13" s="35" t="s">
        <v>25</v>
      </c>
      <c r="Y13" s="36" t="s">
        <v>26</v>
      </c>
      <c r="Z13" s="7"/>
      <c r="AA13" s="7"/>
    </row>
    <row r="14" spans="1:29" ht="16.5" thickTop="1" thickBot="1">
      <c r="A14" s="18">
        <v>43555</v>
      </c>
      <c r="B14" s="37">
        <f>SUM(C14:E14)</f>
        <v>0</v>
      </c>
      <c r="C14" s="29"/>
      <c r="D14" s="29"/>
      <c r="E14" s="38" t="s">
        <v>24</v>
      </c>
      <c r="F14" s="39" t="e">
        <f>NPV($O$6,#REF!)</f>
        <v>#REF!</v>
      </c>
      <c r="G14" s="40"/>
      <c r="H14" s="24">
        <f>I14+J14+K14</f>
        <v>2995209.377920229</v>
      </c>
      <c r="I14" s="41">
        <f>I13+C14</f>
        <v>3000000</v>
      </c>
      <c r="J14" s="29">
        <f>J13+N14-D14</f>
        <v>25000</v>
      </c>
      <c r="K14" s="42">
        <f>K13+O14</f>
        <v>-29790.622079771088</v>
      </c>
      <c r="L14" s="33">
        <f>P14</f>
        <v>0</v>
      </c>
      <c r="M14" s="196">
        <f>H13*((100%+$O$8)^(A14-A13+1)-100%)</f>
        <v>25209.377920228912</v>
      </c>
      <c r="N14" s="29">
        <f>I13*O$4*(A14-A13+1)/360</f>
        <v>25000</v>
      </c>
      <c r="O14" s="30">
        <f>M14-N14</f>
        <v>209.37792022891153</v>
      </c>
      <c r="P14" s="43">
        <v>0</v>
      </c>
      <c r="Q14" s="44"/>
      <c r="R14" s="33"/>
      <c r="T14" s="7">
        <f>O14</f>
        <v>209.37792022891153</v>
      </c>
      <c r="U14" s="7">
        <f>M14</f>
        <v>25209.377920228912</v>
      </c>
      <c r="V14" s="45" t="e">
        <f>N14+N12-#REF!</f>
        <v>#REF!</v>
      </c>
      <c r="W14" s="7" t="e">
        <f>J14-#REF!</f>
        <v>#REF!</v>
      </c>
      <c r="X14" s="7">
        <f>ROUND((O12+O14),2)</f>
        <v>209.38</v>
      </c>
      <c r="Y14" s="46" t="s">
        <v>27</v>
      </c>
      <c r="Z14" s="7">
        <f>M14</f>
        <v>25209.377920228912</v>
      </c>
      <c r="AA14" s="7"/>
      <c r="AB14" s="7"/>
      <c r="AC14" s="7"/>
    </row>
    <row r="15" spans="1:29" ht="16.5" thickTop="1" thickBot="1">
      <c r="A15" s="18">
        <v>43573</v>
      </c>
      <c r="B15" s="37">
        <f>SUM(C15:E15)</f>
        <v>-93333.333333333343</v>
      </c>
      <c r="C15" s="29">
        <v>-40000</v>
      </c>
      <c r="D15" s="29">
        <f>-I13*O$4*(A15-A13)/360</f>
        <v>-53333.333333333336</v>
      </c>
      <c r="E15" s="38" t="s">
        <v>24</v>
      </c>
      <c r="F15" s="39" t="e">
        <f>NPV($O$6,#REF!)</f>
        <v>#REF!</v>
      </c>
      <c r="G15" s="40"/>
      <c r="H15" s="24">
        <f t="shared" ref="H15:H27" si="0">I15+J15+K15</f>
        <v>2930705.4451444875</v>
      </c>
      <c r="I15" s="41">
        <f t="shared" ref="I15:I78" si="1">I14+C15</f>
        <v>2960000</v>
      </c>
      <c r="J15" s="29">
        <f>J14+N15+D15</f>
        <v>0</v>
      </c>
      <c r="K15" s="42">
        <f>K14+O15</f>
        <v>-29294.554855512619</v>
      </c>
      <c r="L15" s="33">
        <f>P15</f>
        <v>0</v>
      </c>
      <c r="M15" s="196">
        <f>H14*((100%+$O$8)^(A15-A14-1)-100%)</f>
        <v>28829.400557591802</v>
      </c>
      <c r="N15" s="29">
        <f>I14*O$4*(A15-A14-1)/360</f>
        <v>28333.333333333332</v>
      </c>
      <c r="O15" s="30">
        <f>M15-N15</f>
        <v>496.06722425846965</v>
      </c>
      <c r="P15" s="43">
        <v>0</v>
      </c>
      <c r="Q15" s="44"/>
      <c r="R15" s="33"/>
      <c r="T15" s="7">
        <f>O15</f>
        <v>496.06722425846965</v>
      </c>
      <c r="U15" s="7">
        <f>M15</f>
        <v>28829.400557591802</v>
      </c>
      <c r="V15" s="45" t="e">
        <f>N15+N13-#REF!</f>
        <v>#REF!</v>
      </c>
      <c r="W15" s="7" t="e">
        <f>J15-#REF!</f>
        <v>#REF!</v>
      </c>
      <c r="X15" s="7">
        <f>ROUND((O13+O15),2)</f>
        <v>496.07</v>
      </c>
      <c r="Y15" s="46" t="s">
        <v>27</v>
      </c>
      <c r="Z15" s="7"/>
      <c r="AA15" s="7"/>
      <c r="AC15" s="7"/>
    </row>
    <row r="16" spans="1:29" ht="15.75" thickTop="1">
      <c r="A16" s="18">
        <v>43585</v>
      </c>
      <c r="B16" s="37">
        <f>SUM(C16:E16)</f>
        <v>0</v>
      </c>
      <c r="C16" s="29"/>
      <c r="D16" s="29">
        <v>0</v>
      </c>
      <c r="E16" s="38"/>
      <c r="F16" s="39" t="e">
        <f>NPV($O$6,#REF!)</f>
        <v>#REF!</v>
      </c>
      <c r="G16" s="40"/>
      <c r="H16" s="24">
        <f t="shared" si="0"/>
        <v>2952252.3506229948</v>
      </c>
      <c r="I16" s="41">
        <f t="shared" si="1"/>
        <v>2960000</v>
      </c>
      <c r="J16" s="29">
        <f t="shared" ref="J16:J79" si="2">J15+N16+D16</f>
        <v>21377.777777777777</v>
      </c>
      <c r="K16" s="42">
        <f t="shared" ref="K16:K27" si="3">K15+O16</f>
        <v>-29125.427154783156</v>
      </c>
      <c r="L16" s="33">
        <f>P16</f>
        <v>0</v>
      </c>
      <c r="M16" s="196">
        <f t="shared" ref="M16" si="4">H15*((100%+$O$8)^(A16-A15+1)-100%)</f>
        <v>21546.90547850724</v>
      </c>
      <c r="N16" s="29">
        <f>I15*O$4*(A16-A15+1)/360</f>
        <v>21377.777777777777</v>
      </c>
      <c r="O16" s="30">
        <f t="shared" ref="O16:O27" si="5">M16-N16</f>
        <v>169.12770072946296</v>
      </c>
      <c r="P16" s="43">
        <v>0</v>
      </c>
      <c r="Q16" s="44">
        <f>M16/H13</f>
        <v>7.2548503294637169E-3</v>
      </c>
      <c r="R16" s="33"/>
      <c r="S16" s="2">
        <f>N15+N16-D16</f>
        <v>49711.111111111109</v>
      </c>
      <c r="T16" s="7">
        <f>O16</f>
        <v>169.12770072946296</v>
      </c>
      <c r="U16" s="7">
        <f>M16</f>
        <v>21546.90547850724</v>
      </c>
      <c r="V16" s="45" t="e">
        <f>N16-#REF!</f>
        <v>#REF!</v>
      </c>
      <c r="W16" s="7" t="e">
        <f>J16-#REF!</f>
        <v>#REF!</v>
      </c>
      <c r="X16" s="7"/>
      <c r="Z16" s="7">
        <f>M16+M15</f>
        <v>50376.306036099042</v>
      </c>
      <c r="AA16" s="7"/>
      <c r="AB16" s="7"/>
      <c r="AC16" s="7"/>
    </row>
    <row r="17" spans="1:29">
      <c r="A17" s="18">
        <v>43605</v>
      </c>
      <c r="B17" s="37">
        <f t="shared" ref="B17:B163" si="6">SUM(C17:E17)</f>
        <v>-92622.222222222219</v>
      </c>
      <c r="C17" s="29">
        <v>-40000</v>
      </c>
      <c r="D17" s="29">
        <f t="shared" ref="D17" si="7">-I15*O$4*(A17-A15)/360</f>
        <v>-52622.222222222219</v>
      </c>
      <c r="E17" s="38"/>
      <c r="F17" s="39"/>
      <c r="G17" s="47"/>
      <c r="H17" s="24">
        <f t="shared" si="0"/>
        <v>2891407.0418899101</v>
      </c>
      <c r="I17" s="41">
        <f t="shared" si="1"/>
        <v>2920000</v>
      </c>
      <c r="J17" s="29">
        <f t="shared" si="2"/>
        <v>0</v>
      </c>
      <c r="K17" s="42">
        <f t="shared" si="3"/>
        <v>-28592.958110089785</v>
      </c>
      <c r="L17" s="33">
        <f t="shared" ref="L17:L27" si="8">P17</f>
        <v>0</v>
      </c>
      <c r="M17" s="196">
        <f t="shared" ref="M17" si="9">H16*((100%+$O$8)^(A17-A16-1)-100%)</f>
        <v>31776.913489137816</v>
      </c>
      <c r="N17" s="29">
        <f>I16*O$4*(A17-A16-1)/360</f>
        <v>31244.444444444445</v>
      </c>
      <c r="O17" s="30">
        <f t="shared" si="5"/>
        <v>532.46904469337096</v>
      </c>
      <c r="P17" s="43">
        <v>0</v>
      </c>
      <c r="Q17" s="44"/>
      <c r="R17" s="33"/>
      <c r="V17" s="45" t="e">
        <f>N17-#REF!</f>
        <v>#REF!</v>
      </c>
      <c r="W17" s="7" t="e">
        <f>J17-#REF!</f>
        <v>#REF!</v>
      </c>
      <c r="X17" s="7">
        <f>ROUND((O16+O17),2)</f>
        <v>701.6</v>
      </c>
      <c r="Y17" s="46" t="s">
        <v>28</v>
      </c>
      <c r="Z17" s="7"/>
      <c r="AA17" s="7"/>
      <c r="AC17" s="7"/>
    </row>
    <row r="18" spans="1:29">
      <c r="A18" s="18">
        <v>43616</v>
      </c>
      <c r="B18" s="37">
        <f t="shared" si="6"/>
        <v>0</v>
      </c>
      <c r="C18" s="29"/>
      <c r="D18" s="29">
        <v>0</v>
      </c>
      <c r="E18" s="38"/>
      <c r="F18" s="39"/>
      <c r="G18" s="47"/>
      <c r="H18" s="24">
        <f t="shared" si="0"/>
        <v>2911024.2573410473</v>
      </c>
      <c r="I18" s="41">
        <f t="shared" si="1"/>
        <v>2920000</v>
      </c>
      <c r="J18" s="29">
        <f t="shared" si="2"/>
        <v>19466.666666666668</v>
      </c>
      <c r="K18" s="42">
        <f t="shared" si="3"/>
        <v>-28442.409325619246</v>
      </c>
      <c r="L18" s="33">
        <f t="shared" si="8"/>
        <v>0</v>
      </c>
      <c r="M18" s="196">
        <f t="shared" ref="M18" si="10">H17*((100%+$O$8)^(A18-A17+1)-100%)</f>
        <v>19617.215451137206</v>
      </c>
      <c r="N18" s="29">
        <f t="shared" ref="N18" si="11">I17*O$4*(A18-A17+1)/360</f>
        <v>19466.666666666668</v>
      </c>
      <c r="O18" s="30">
        <f t="shared" si="5"/>
        <v>150.54878447053852</v>
      </c>
      <c r="P18" s="43">
        <v>0</v>
      </c>
      <c r="Q18" s="44">
        <f>M18/H16</f>
        <v>6.6448301572179331E-3</v>
      </c>
      <c r="R18" s="33"/>
      <c r="S18" s="2">
        <f>N17+N18-D18</f>
        <v>50711.111111111109</v>
      </c>
      <c r="T18" s="7">
        <f>O18+O17</f>
        <v>683.01782916390948</v>
      </c>
      <c r="U18" s="7">
        <f>M17+M18</f>
        <v>51394.128940275026</v>
      </c>
      <c r="V18" s="45" t="e">
        <f>N18-#REF!</f>
        <v>#REF!</v>
      </c>
      <c r="W18" s="7" t="e">
        <f>J18-#REF!</f>
        <v>#REF!</v>
      </c>
      <c r="X18" s="7"/>
      <c r="Z18" s="7">
        <f>M18+M17</f>
        <v>51394.128940275026</v>
      </c>
      <c r="AA18" s="7"/>
      <c r="AC18" s="7"/>
    </row>
    <row r="19" spans="1:29">
      <c r="A19" s="18">
        <v>43636</v>
      </c>
      <c r="B19" s="37">
        <f t="shared" si="6"/>
        <v>-90288.888888888891</v>
      </c>
      <c r="C19" s="29">
        <v>-40000</v>
      </c>
      <c r="D19" s="29">
        <f t="shared" ref="D19" si="12">-I17*O$4*(A19-A17)/360</f>
        <v>-50288.888888888891</v>
      </c>
      <c r="E19" s="38"/>
      <c r="F19" s="39"/>
      <c r="G19" s="47"/>
      <c r="H19" s="24">
        <f t="shared" si="0"/>
        <v>2852068.51853697</v>
      </c>
      <c r="I19" s="41">
        <f t="shared" si="1"/>
        <v>2880000</v>
      </c>
      <c r="J19" s="29">
        <f t="shared" si="2"/>
        <v>0</v>
      </c>
      <c r="K19" s="42">
        <f t="shared" si="3"/>
        <v>-27931.481463029875</v>
      </c>
      <c r="L19" s="33">
        <f t="shared" si="8"/>
        <v>0</v>
      </c>
      <c r="M19" s="196">
        <f t="shared" ref="M19" si="13">H18*((100%+$O$8)^(A19-A18-1)-100%)</f>
        <v>31333.150084811594</v>
      </c>
      <c r="N19" s="29">
        <f t="shared" ref="N19" si="14">I18*O$4*(A19-A18-1)/360</f>
        <v>30822.222222222223</v>
      </c>
      <c r="O19" s="30">
        <f t="shared" si="5"/>
        <v>510.92786258937122</v>
      </c>
      <c r="P19" s="43">
        <v>0</v>
      </c>
      <c r="Q19" s="44"/>
      <c r="R19" s="33"/>
      <c r="V19" s="45" t="e">
        <f>N19-#REF!</f>
        <v>#REF!</v>
      </c>
      <c r="W19" s="7" t="e">
        <f>J19-#REF!</f>
        <v>#REF!</v>
      </c>
      <c r="X19" s="7">
        <f>ROUND((O18+O19),2)</f>
        <v>661.48</v>
      </c>
      <c r="Y19" s="46" t="s">
        <v>28</v>
      </c>
      <c r="Z19" s="7"/>
      <c r="AA19" s="7"/>
      <c r="AC19" s="7"/>
    </row>
    <row r="20" spans="1:29">
      <c r="A20" s="18">
        <v>43646</v>
      </c>
      <c r="B20" s="37">
        <f t="shared" si="6"/>
        <v>0</v>
      </c>
      <c r="C20" s="29"/>
      <c r="D20" s="29">
        <v>0</v>
      </c>
      <c r="E20" s="38"/>
      <c r="F20" s="39"/>
      <c r="G20" s="47"/>
      <c r="H20" s="24">
        <f t="shared" si="0"/>
        <v>2869801.3069200222</v>
      </c>
      <c r="I20" s="41">
        <f t="shared" si="1"/>
        <v>2880000</v>
      </c>
      <c r="J20" s="29">
        <f t="shared" si="2"/>
        <v>17600</v>
      </c>
      <c r="K20" s="42">
        <f t="shared" si="3"/>
        <v>-27798.693079977678</v>
      </c>
      <c r="L20" s="33">
        <f t="shared" si="8"/>
        <v>0</v>
      </c>
      <c r="M20" s="196">
        <f t="shared" ref="M20" si="15">H19*((100%+$O$8)^(A20-A19+1)-100%)</f>
        <v>17732.788383052197</v>
      </c>
      <c r="N20" s="29">
        <f t="shared" ref="N20" si="16">I19*O$4*(A20-A19+1)/360</f>
        <v>17600</v>
      </c>
      <c r="O20" s="30">
        <f t="shared" si="5"/>
        <v>132.78838305219688</v>
      </c>
      <c r="P20" s="43">
        <v>0</v>
      </c>
      <c r="Q20" s="44">
        <f>M20/H18</f>
        <v>6.091597601199472E-3</v>
      </c>
      <c r="R20" s="33"/>
      <c r="S20" s="2">
        <f>N19+N20-D20</f>
        <v>48422.222222222219</v>
      </c>
      <c r="T20" s="7">
        <f>O20+O19</f>
        <v>643.71624564156809</v>
      </c>
      <c r="U20" s="7">
        <f>M19+M20</f>
        <v>49065.938467863787</v>
      </c>
      <c r="V20" s="45" t="e">
        <f>N20-#REF!</f>
        <v>#REF!</v>
      </c>
      <c r="W20" s="7" t="e">
        <f>J20-#REF!</f>
        <v>#REF!</v>
      </c>
      <c r="X20" s="7"/>
      <c r="Z20" s="7">
        <f t="shared" ref="Z20" si="17">M20+M19</f>
        <v>49065.938467863787</v>
      </c>
      <c r="AA20" s="7"/>
      <c r="AC20" s="7"/>
    </row>
    <row r="21" spans="1:29">
      <c r="A21" s="18">
        <v>43664</v>
      </c>
      <c r="B21" s="37">
        <f t="shared" si="6"/>
        <v>-84800</v>
      </c>
      <c r="C21" s="29">
        <v>-40000</v>
      </c>
      <c r="D21" s="29">
        <f t="shared" ref="D21" si="18">-I19*O$4*(A21-A19)/360</f>
        <v>-44800</v>
      </c>
      <c r="E21" s="38"/>
      <c r="F21" s="39"/>
      <c r="G21" s="47"/>
      <c r="H21" s="24">
        <f t="shared" si="0"/>
        <v>2812623.6334284102</v>
      </c>
      <c r="I21" s="41">
        <f t="shared" si="1"/>
        <v>2840000</v>
      </c>
      <c r="J21" s="29">
        <f t="shared" si="2"/>
        <v>0</v>
      </c>
      <c r="K21" s="42">
        <f t="shared" si="3"/>
        <v>-27376.366571589846</v>
      </c>
      <c r="L21" s="33">
        <f t="shared" si="8"/>
        <v>0</v>
      </c>
      <c r="M21" s="196">
        <f t="shared" ref="M21" si="19">H20*((100%+$O$8)^(A21-A20-1)-100%)</f>
        <v>27622.326508387832</v>
      </c>
      <c r="N21" s="29">
        <f t="shared" ref="N21" si="20">I20*O$4*(A21-A20-1)/360</f>
        <v>27200</v>
      </c>
      <c r="O21" s="30">
        <f t="shared" si="5"/>
        <v>422.32650838783229</v>
      </c>
      <c r="P21" s="43">
        <v>0</v>
      </c>
      <c r="Q21" s="44"/>
      <c r="R21" s="33"/>
      <c r="V21" s="45" t="e">
        <f>N21-#REF!</f>
        <v>#REF!</v>
      </c>
      <c r="W21" s="7" t="e">
        <f>J21-#REF!</f>
        <v>#REF!</v>
      </c>
      <c r="X21" s="7">
        <f>ROUND((O20+O21),2)</f>
        <v>555.11</v>
      </c>
      <c r="Y21" s="46" t="s">
        <v>28</v>
      </c>
      <c r="Z21" s="7"/>
      <c r="AA21" s="7"/>
      <c r="AC21" s="7"/>
    </row>
    <row r="22" spans="1:29">
      <c r="A22" s="18">
        <v>43677</v>
      </c>
      <c r="B22" s="37">
        <f t="shared" si="6"/>
        <v>0</v>
      </c>
      <c r="C22" s="29"/>
      <c r="D22" s="29">
        <v>0</v>
      </c>
      <c r="E22" s="38"/>
      <c r="F22" s="39"/>
      <c r="G22" s="47"/>
      <c r="H22" s="24">
        <f t="shared" si="0"/>
        <v>2834899.3433276932</v>
      </c>
      <c r="I22" s="41">
        <f t="shared" si="1"/>
        <v>2840000</v>
      </c>
      <c r="J22" s="29">
        <f t="shared" si="2"/>
        <v>22088.888888888891</v>
      </c>
      <c r="K22" s="42">
        <f t="shared" si="3"/>
        <v>-27189.545561196002</v>
      </c>
      <c r="L22" s="33">
        <f t="shared" si="8"/>
        <v>0</v>
      </c>
      <c r="M22" s="196">
        <f t="shared" ref="M22" si="21">H21*((100%+$O$8)^(A22-A21+1)-100%)</f>
        <v>22275.709899282734</v>
      </c>
      <c r="N22" s="29">
        <f t="shared" ref="N22" si="22">I21*O$4*(A22-A21+1)/360</f>
        <v>22088.888888888891</v>
      </c>
      <c r="O22" s="30">
        <f t="shared" si="5"/>
        <v>186.82101039384361</v>
      </c>
      <c r="P22" s="43">
        <v>0</v>
      </c>
      <c r="Q22" s="44">
        <f>M22/H20</f>
        <v>7.7621087723281643E-3</v>
      </c>
      <c r="R22" s="33"/>
      <c r="S22" s="2">
        <f>N21+N22-D22</f>
        <v>49288.888888888891</v>
      </c>
      <c r="T22" s="7">
        <f>O22+O21</f>
        <v>609.1475187816759</v>
      </c>
      <c r="U22" s="7">
        <f>M21+M22</f>
        <v>49898.036407670566</v>
      </c>
      <c r="V22" s="45" t="e">
        <f>N22-#REF!</f>
        <v>#REF!</v>
      </c>
      <c r="W22" s="7" t="e">
        <f>J22-#REF!</f>
        <v>#REF!</v>
      </c>
      <c r="X22" s="7"/>
      <c r="Z22" s="7">
        <f t="shared" ref="Z22" si="23">M22+M21</f>
        <v>49898.036407670566</v>
      </c>
      <c r="AA22" s="7"/>
      <c r="AC22" s="7"/>
    </row>
    <row r="23" spans="1:29">
      <c r="A23" s="18">
        <v>43697</v>
      </c>
      <c r="B23" s="37">
        <f t="shared" si="6"/>
        <v>-92066.666666666657</v>
      </c>
      <c r="C23" s="29">
        <v>-40000</v>
      </c>
      <c r="D23" s="29">
        <f t="shared" ref="D23" si="24">-I21*O$4*(A23-A21)/360</f>
        <v>-52066.666666666664</v>
      </c>
      <c r="E23" s="38"/>
      <c r="F23" s="39"/>
      <c r="G23" s="47"/>
      <c r="H23" s="24">
        <f t="shared" si="0"/>
        <v>2773346.4473298267</v>
      </c>
      <c r="I23" s="41">
        <f t="shared" si="1"/>
        <v>2800000</v>
      </c>
      <c r="J23" s="29">
        <f t="shared" si="2"/>
        <v>0</v>
      </c>
      <c r="K23" s="42">
        <f t="shared" si="3"/>
        <v>-26653.552670173129</v>
      </c>
      <c r="L23" s="33">
        <f t="shared" si="8"/>
        <v>0</v>
      </c>
      <c r="M23" s="196">
        <f t="shared" ref="M23" si="25">H22*((100%+$O$8)^(A23-A22-1)-100%)</f>
        <v>30513.770668800651</v>
      </c>
      <c r="N23" s="29">
        <f t="shared" ref="N23" si="26">I22*O$4*(A23-A22-1)/360</f>
        <v>29977.777777777777</v>
      </c>
      <c r="O23" s="30">
        <f t="shared" si="5"/>
        <v>535.99289102287366</v>
      </c>
      <c r="P23" s="43">
        <v>0</v>
      </c>
      <c r="Q23" s="44"/>
      <c r="R23" s="33"/>
      <c r="V23" s="45" t="e">
        <f>N23-#REF!</f>
        <v>#REF!</v>
      </c>
      <c r="W23" s="7" t="e">
        <f>J23-#REF!</f>
        <v>#REF!</v>
      </c>
      <c r="X23" s="7">
        <f>ROUND((O22+O23),2)</f>
        <v>722.81</v>
      </c>
      <c r="Y23" s="46" t="s">
        <v>28</v>
      </c>
      <c r="Z23" s="7"/>
      <c r="AA23" s="7"/>
      <c r="AC23" s="7"/>
    </row>
    <row r="24" spans="1:29">
      <c r="A24" s="18">
        <v>43708</v>
      </c>
      <c r="B24" s="37">
        <f t="shared" si="6"/>
        <v>0</v>
      </c>
      <c r="C24" s="29"/>
      <c r="D24" s="29">
        <v>0</v>
      </c>
      <c r="E24" s="38"/>
      <c r="F24" s="39"/>
      <c r="G24" s="47"/>
      <c r="H24" s="24">
        <f t="shared" si="0"/>
        <v>2792162.6617160081</v>
      </c>
      <c r="I24" s="41">
        <f t="shared" si="1"/>
        <v>2800000</v>
      </c>
      <c r="J24" s="29">
        <f t="shared" si="2"/>
        <v>18666.666666666668</v>
      </c>
      <c r="K24" s="42">
        <f t="shared" si="3"/>
        <v>-26504.004950658389</v>
      </c>
      <c r="L24" s="33">
        <f t="shared" si="8"/>
        <v>0</v>
      </c>
      <c r="M24" s="196">
        <f t="shared" ref="M24" si="27">H23*((100%+$O$8)^(A24-A23+1)-100%)</f>
        <v>18816.214386181407</v>
      </c>
      <c r="N24" s="29">
        <f t="shared" ref="N24" si="28">I23*O$4*(A24-A23+1)/360</f>
        <v>18666.666666666668</v>
      </c>
      <c r="O24" s="30">
        <f t="shared" si="5"/>
        <v>149.54771951473958</v>
      </c>
      <c r="P24" s="43">
        <v>0</v>
      </c>
      <c r="Q24" s="44">
        <f>M24/H22</f>
        <v>6.6373483173107475E-3</v>
      </c>
      <c r="R24" s="33"/>
      <c r="S24" s="2">
        <f>N23+N24-D24</f>
        <v>48644.444444444445</v>
      </c>
      <c r="T24" s="7">
        <f>O24+O23</f>
        <v>685.54061053761325</v>
      </c>
      <c r="U24" s="7">
        <f>M23+M24</f>
        <v>49329.985054982055</v>
      </c>
      <c r="V24" s="45" t="e">
        <f>N24-#REF!</f>
        <v>#REF!</v>
      </c>
      <c r="W24" s="7" t="e">
        <f>J24-#REF!</f>
        <v>#REF!</v>
      </c>
      <c r="X24" s="7"/>
      <c r="Z24" s="7">
        <f t="shared" ref="Z24" si="29">M24+M23</f>
        <v>49329.985054982055</v>
      </c>
      <c r="AA24" s="7"/>
      <c r="AC24" s="7"/>
    </row>
    <row r="25" spans="1:29">
      <c r="A25" s="18">
        <v>43727</v>
      </c>
      <c r="B25" s="37">
        <f t="shared" si="6"/>
        <v>-86666.666666666657</v>
      </c>
      <c r="C25" s="29">
        <v>-40000</v>
      </c>
      <c r="D25" s="29">
        <f t="shared" ref="D25" si="30">-I23*O$4*(A25-A23)/360</f>
        <v>-46666.666666666664</v>
      </c>
      <c r="E25" s="38"/>
      <c r="F25" s="39"/>
      <c r="G25" s="47"/>
      <c r="H25" s="24">
        <f t="shared" si="0"/>
        <v>2733959.9526219512</v>
      </c>
      <c r="I25" s="41">
        <f t="shared" si="1"/>
        <v>2760000</v>
      </c>
      <c r="J25" s="29">
        <f t="shared" si="2"/>
        <v>0</v>
      </c>
      <c r="K25" s="42">
        <f t="shared" si="3"/>
        <v>-26040.047378048595</v>
      </c>
      <c r="L25" s="33">
        <f t="shared" si="8"/>
        <v>0</v>
      </c>
      <c r="M25" s="196">
        <f t="shared" ref="M25:M87" si="31">H24*((100%+$O$8)^(A25-A24-1)-100%)</f>
        <v>28463.957572609794</v>
      </c>
      <c r="N25" s="29">
        <f t="shared" ref="N25:N87" si="32">I24*O$4*(A25-A24-1)/360</f>
        <v>28000</v>
      </c>
      <c r="O25" s="30">
        <f t="shared" si="5"/>
        <v>463.95757260979371</v>
      </c>
      <c r="P25" s="43">
        <v>0</v>
      </c>
      <c r="Q25" s="44"/>
      <c r="R25" s="33"/>
      <c r="V25" s="45" t="e">
        <f>N25-#REF!</f>
        <v>#REF!</v>
      </c>
      <c r="W25" s="7" t="e">
        <f>J25-#REF!</f>
        <v>#REF!</v>
      </c>
      <c r="X25" s="7">
        <f>ROUND((O24+O25),2)</f>
        <v>613.51</v>
      </c>
      <c r="Y25" s="46" t="s">
        <v>28</v>
      </c>
      <c r="Z25" s="7"/>
      <c r="AA25" s="7"/>
      <c r="AC25" s="7"/>
    </row>
    <row r="26" spans="1:29">
      <c r="A26" s="18">
        <v>43738</v>
      </c>
      <c r="B26" s="37">
        <f t="shared" si="6"/>
        <v>0</v>
      </c>
      <c r="C26" s="29"/>
      <c r="D26" s="29">
        <v>0</v>
      </c>
      <c r="E26" s="38"/>
      <c r="F26" s="39"/>
      <c r="G26" s="47"/>
      <c r="H26" s="24">
        <f t="shared" si="0"/>
        <v>2752508.9430091055</v>
      </c>
      <c r="I26" s="41">
        <f t="shared" si="1"/>
        <v>2760000</v>
      </c>
      <c r="J26" s="29">
        <f t="shared" si="2"/>
        <v>18400</v>
      </c>
      <c r="K26" s="42">
        <f t="shared" si="3"/>
        <v>-25891.056990894471</v>
      </c>
      <c r="L26" s="33">
        <f t="shared" si="8"/>
        <v>0</v>
      </c>
      <c r="M26" s="196">
        <f t="shared" ref="M26:M88" si="33">H25*((100%+$O$8)^(A26-A25+1)-100%)</f>
        <v>18548.990387154125</v>
      </c>
      <c r="N26" s="29">
        <f t="shared" ref="N26:N88" si="34">I25*O$4*(A26-A25+1)/360</f>
        <v>18400</v>
      </c>
      <c r="O26" s="30">
        <f t="shared" si="5"/>
        <v>148.99038715412462</v>
      </c>
      <c r="P26" s="43">
        <v>0</v>
      </c>
      <c r="Q26" s="44">
        <f>M26/H24</f>
        <v>6.6432341645003877E-3</v>
      </c>
      <c r="R26" s="33"/>
      <c r="S26" s="2">
        <f>N25+N26-D26</f>
        <v>46400</v>
      </c>
      <c r="T26" s="7">
        <f>O26+O25</f>
        <v>612.94795976391833</v>
      </c>
      <c r="U26" s="7">
        <f>M25+M26</f>
        <v>47012.947959763915</v>
      </c>
      <c r="V26" s="45" t="e">
        <f>N26-#REF!</f>
        <v>#REF!</v>
      </c>
      <c r="W26" s="7" t="e">
        <f>J26-#REF!</f>
        <v>#REF!</v>
      </c>
      <c r="X26" s="7"/>
      <c r="Z26" s="7">
        <f t="shared" ref="Z26:Z88" si="35">M26+M25</f>
        <v>47012.947959763915</v>
      </c>
      <c r="AA26" s="7"/>
      <c r="AC26" s="7"/>
    </row>
    <row r="27" spans="1:29">
      <c r="A27" s="18">
        <v>43758</v>
      </c>
      <c r="B27" s="37">
        <f t="shared" si="6"/>
        <v>-87533.333333333343</v>
      </c>
      <c r="C27" s="29">
        <v>-40000</v>
      </c>
      <c r="D27" s="29">
        <f t="shared" ref="D27" si="36">-I25*O$4*(A27-A25)/360</f>
        <v>-47533.333333333336</v>
      </c>
      <c r="E27" s="38"/>
      <c r="F27" s="39"/>
      <c r="G27" s="47"/>
      <c r="H27" s="24">
        <f t="shared" si="0"/>
        <v>2694602.5616338667</v>
      </c>
      <c r="I27" s="41">
        <f t="shared" si="1"/>
        <v>2720000</v>
      </c>
      <c r="J27" s="29">
        <f t="shared" si="2"/>
        <v>0</v>
      </c>
      <c r="K27" s="42">
        <f t="shared" si="3"/>
        <v>-25397.438366133476</v>
      </c>
      <c r="L27" s="33">
        <f t="shared" si="8"/>
        <v>0</v>
      </c>
      <c r="M27" s="196">
        <f t="shared" si="31"/>
        <v>29626.951958094327</v>
      </c>
      <c r="N27" s="29">
        <f t="shared" si="32"/>
        <v>29133.333333333332</v>
      </c>
      <c r="O27" s="30">
        <f t="shared" si="5"/>
        <v>493.61862476099486</v>
      </c>
      <c r="P27" s="43">
        <v>0</v>
      </c>
      <c r="Q27" s="44"/>
      <c r="R27" s="33"/>
      <c r="V27" s="45" t="e">
        <f>N27-#REF!</f>
        <v>#REF!</v>
      </c>
      <c r="W27" s="7" t="e">
        <f>J27-#REF!</f>
        <v>#REF!</v>
      </c>
      <c r="X27" s="7">
        <f>ROUND((O26+O27),2)</f>
        <v>642.61</v>
      </c>
      <c r="Y27" s="46" t="s">
        <v>28</v>
      </c>
      <c r="Z27" s="7"/>
      <c r="AA27" s="7"/>
      <c r="AC27" s="7"/>
    </row>
    <row r="28" spans="1:29">
      <c r="A28" s="18">
        <v>43769</v>
      </c>
      <c r="B28" s="37">
        <f t="shared" si="6"/>
        <v>0</v>
      </c>
      <c r="C28" s="29"/>
      <c r="D28" s="29">
        <v>0</v>
      </c>
      <c r="E28" s="38"/>
      <c r="F28" s="39"/>
      <c r="G28" s="47"/>
      <c r="H28" s="24">
        <f t="shared" ref="H28:H91" si="37">I28+J28+K28</f>
        <v>2712884.5254808548</v>
      </c>
      <c r="I28" s="41">
        <f t="shared" si="1"/>
        <v>2720000</v>
      </c>
      <c r="J28" s="29">
        <f t="shared" si="2"/>
        <v>18133.333333333332</v>
      </c>
      <c r="K28" s="42">
        <f t="shared" ref="K28:K91" si="38">K27+O28</f>
        <v>-25248.807852478829</v>
      </c>
      <c r="L28" s="33">
        <f t="shared" ref="L28:L91" si="39">P28</f>
        <v>0</v>
      </c>
      <c r="M28" s="196">
        <f t="shared" si="33"/>
        <v>18281.963846987979</v>
      </c>
      <c r="N28" s="29">
        <f t="shared" si="34"/>
        <v>18133.333333333332</v>
      </c>
      <c r="O28" s="30">
        <f t="shared" ref="O28:O91" si="40">M28-N28</f>
        <v>148.63051365464707</v>
      </c>
      <c r="P28" s="43"/>
      <c r="Q28" s="44"/>
      <c r="R28" s="33"/>
      <c r="V28" s="45"/>
      <c r="W28" s="7"/>
      <c r="X28" s="7"/>
      <c r="Y28" s="46"/>
      <c r="Z28" s="7">
        <f t="shared" si="35"/>
        <v>47908.915805082303</v>
      </c>
      <c r="AA28" s="7"/>
      <c r="AC28" s="7"/>
    </row>
    <row r="29" spans="1:29">
      <c r="A29" s="18">
        <v>43789</v>
      </c>
      <c r="B29" s="37">
        <f t="shared" si="6"/>
        <v>-86844.444444444438</v>
      </c>
      <c r="C29" s="29">
        <v>-40000</v>
      </c>
      <c r="D29" s="29">
        <f t="shared" ref="D29" si="41">-I27*O$4*(A29-A27)/360</f>
        <v>-46844.444444444445</v>
      </c>
      <c r="E29" s="38"/>
      <c r="F29" s="39"/>
      <c r="G29" s="47"/>
      <c r="H29" s="24">
        <f t="shared" si="37"/>
        <v>2655240.5309417285</v>
      </c>
      <c r="I29" s="41">
        <f t="shared" si="1"/>
        <v>2680000</v>
      </c>
      <c r="J29" s="29">
        <f>J28+N29+D29</f>
        <v>0</v>
      </c>
      <c r="K29" s="42">
        <f t="shared" si="38"/>
        <v>-24759.469058271345</v>
      </c>
      <c r="L29" s="33">
        <f t="shared" si="39"/>
        <v>0</v>
      </c>
      <c r="M29" s="196">
        <f t="shared" si="31"/>
        <v>29200.449905318594</v>
      </c>
      <c r="N29" s="29">
        <f t="shared" si="32"/>
        <v>28711.111111111109</v>
      </c>
      <c r="O29" s="30">
        <f>M29-N29</f>
        <v>489.33879420748417</v>
      </c>
      <c r="P29" s="43"/>
      <c r="Q29" s="44"/>
      <c r="R29" s="33"/>
      <c r="V29" s="45"/>
      <c r="W29" s="7"/>
      <c r="X29" s="7"/>
      <c r="Y29" s="46"/>
      <c r="Z29" s="7"/>
      <c r="AA29" s="7"/>
      <c r="AC29" s="7"/>
    </row>
    <row r="30" spans="1:29">
      <c r="A30" s="18">
        <v>43799</v>
      </c>
      <c r="B30" s="37">
        <f t="shared" si="6"/>
        <v>0</v>
      </c>
      <c r="C30" s="29"/>
      <c r="D30" s="29">
        <v>0</v>
      </c>
      <c r="E30" s="38"/>
      <c r="F30" s="39"/>
      <c r="G30" s="47"/>
      <c r="H30" s="24">
        <f t="shared" si="37"/>
        <v>2671749.5376977958</v>
      </c>
      <c r="I30" s="41">
        <f t="shared" si="1"/>
        <v>2680000</v>
      </c>
      <c r="J30" s="29">
        <f t="shared" si="2"/>
        <v>16377.777777777777</v>
      </c>
      <c r="K30" s="42">
        <f t="shared" si="38"/>
        <v>-24628.240079982123</v>
      </c>
      <c r="L30" s="33">
        <f t="shared" si="39"/>
        <v>0</v>
      </c>
      <c r="M30" s="196">
        <f t="shared" si="33"/>
        <v>16509.006756067</v>
      </c>
      <c r="N30" s="29">
        <f t="shared" si="34"/>
        <v>16377.777777777777</v>
      </c>
      <c r="O30" s="30">
        <f t="shared" si="40"/>
        <v>131.22897828922214</v>
      </c>
      <c r="P30" s="43"/>
      <c r="Q30" s="44"/>
      <c r="R30" s="33"/>
      <c r="V30" s="45"/>
      <c r="W30" s="7"/>
      <c r="X30" s="7"/>
      <c r="Y30" s="46"/>
      <c r="Z30" s="7">
        <f t="shared" si="35"/>
        <v>45709.456661385593</v>
      </c>
      <c r="AA30" s="7"/>
      <c r="AC30" s="7"/>
    </row>
    <row r="31" spans="1:29">
      <c r="A31" s="18">
        <v>43818</v>
      </c>
      <c r="B31" s="37">
        <f t="shared" si="6"/>
        <v>-83177.777777777781</v>
      </c>
      <c r="C31" s="29">
        <v>-40000</v>
      </c>
      <c r="D31" s="29">
        <f t="shared" ref="D31" si="42">-I29*O$4*(A31-A29)/360</f>
        <v>-43177.777777777781</v>
      </c>
      <c r="E31" s="38"/>
      <c r="F31" s="39"/>
      <c r="G31" s="47"/>
      <c r="H31" s="24">
        <f t="shared" si="37"/>
        <v>2615808.198014542</v>
      </c>
      <c r="I31" s="41">
        <f t="shared" si="1"/>
        <v>2640000</v>
      </c>
      <c r="J31" s="29">
        <f t="shared" si="2"/>
        <v>0</v>
      </c>
      <c r="K31" s="42">
        <f t="shared" si="38"/>
        <v>-24191.801985457951</v>
      </c>
      <c r="L31" s="33">
        <f t="shared" si="39"/>
        <v>0</v>
      </c>
      <c r="M31" s="196">
        <f t="shared" si="31"/>
        <v>27236.438094524172</v>
      </c>
      <c r="N31" s="29">
        <f t="shared" si="32"/>
        <v>26800</v>
      </c>
      <c r="O31" s="30">
        <f t="shared" si="40"/>
        <v>436.4380945241719</v>
      </c>
      <c r="P31" s="43"/>
      <c r="Q31" s="44"/>
      <c r="R31" s="33"/>
      <c r="V31" s="45"/>
      <c r="W31" s="7"/>
      <c r="X31" s="7"/>
      <c r="Y31" s="46"/>
      <c r="Z31" s="7"/>
      <c r="AA31" s="7"/>
      <c r="AC31" s="7"/>
    </row>
    <row r="32" spans="1:29">
      <c r="A32" s="18">
        <v>43830</v>
      </c>
      <c r="B32" s="37">
        <f t="shared" si="6"/>
        <v>0</v>
      </c>
      <c r="C32" s="29"/>
      <c r="D32" s="29">
        <v>0</v>
      </c>
      <c r="E32" s="38"/>
      <c r="F32" s="39"/>
      <c r="G32" s="47"/>
      <c r="H32" s="24">
        <f t="shared" si="37"/>
        <v>2635039.9403535421</v>
      </c>
      <c r="I32" s="41">
        <f t="shared" si="1"/>
        <v>2640000</v>
      </c>
      <c r="J32" s="29">
        <f t="shared" si="2"/>
        <v>19066.666666666668</v>
      </c>
      <c r="K32" s="42">
        <f t="shared" si="38"/>
        <v>-24026.726313124414</v>
      </c>
      <c r="L32" s="33">
        <f t="shared" si="39"/>
        <v>0</v>
      </c>
      <c r="M32" s="196">
        <f t="shared" si="33"/>
        <v>19231.742339000204</v>
      </c>
      <c r="N32" s="29">
        <f t="shared" si="34"/>
        <v>19066.666666666668</v>
      </c>
      <c r="O32" s="30">
        <f t="shared" si="40"/>
        <v>165.0756723335362</v>
      </c>
      <c r="P32" s="43"/>
      <c r="Q32" s="44"/>
      <c r="R32" s="33"/>
      <c r="V32" s="45"/>
      <c r="W32" s="7"/>
      <c r="X32" s="7"/>
      <c r="Y32" s="46"/>
      <c r="Z32" s="7">
        <f t="shared" si="35"/>
        <v>46468.18043352438</v>
      </c>
      <c r="AA32" s="7"/>
      <c r="AC32" s="7"/>
    </row>
    <row r="33" spans="1:29">
      <c r="A33" s="18">
        <v>43850</v>
      </c>
      <c r="B33" s="37">
        <f t="shared" si="6"/>
        <v>-86933.333333333343</v>
      </c>
      <c r="C33" s="29">
        <v>-40000</v>
      </c>
      <c r="D33" s="29">
        <f t="shared" ref="D33" si="43">-I31*O$4*(A33-A31)/360</f>
        <v>-46933.333333333336</v>
      </c>
      <c r="E33" s="38"/>
      <c r="F33" s="39"/>
      <c r="G33" s="47"/>
      <c r="H33" s="24">
        <f t="shared" si="37"/>
        <v>2576469.1676283386</v>
      </c>
      <c r="I33" s="41">
        <f t="shared" si="1"/>
        <v>2600000</v>
      </c>
      <c r="J33" s="29">
        <f t="shared" si="2"/>
        <v>0</v>
      </c>
      <c r="K33" s="42">
        <f t="shared" si="38"/>
        <v>-23530.832371661614</v>
      </c>
      <c r="L33" s="33">
        <f t="shared" si="39"/>
        <v>0</v>
      </c>
      <c r="M33" s="196">
        <f t="shared" si="31"/>
        <v>28362.560608129468</v>
      </c>
      <c r="N33" s="29">
        <f t="shared" si="32"/>
        <v>27866.666666666668</v>
      </c>
      <c r="O33" s="30">
        <f t="shared" si="40"/>
        <v>495.89394146280029</v>
      </c>
      <c r="P33" s="43"/>
      <c r="Q33" s="44"/>
      <c r="R33" s="33"/>
      <c r="V33" s="45"/>
      <c r="W33" s="7"/>
      <c r="X33" s="7"/>
      <c r="Y33" s="46"/>
      <c r="Z33" s="7"/>
      <c r="AA33" s="7"/>
      <c r="AC33" s="7"/>
    </row>
    <row r="34" spans="1:29">
      <c r="A34" s="18">
        <v>43861</v>
      </c>
      <c r="B34" s="37">
        <f t="shared" si="6"/>
        <v>0</v>
      </c>
      <c r="C34" s="29"/>
      <c r="D34" s="29">
        <v>0</v>
      </c>
      <c r="E34" s="38"/>
      <c r="F34" s="39"/>
      <c r="G34" s="47"/>
      <c r="H34" s="24">
        <f t="shared" si="37"/>
        <v>2593949.6364908409</v>
      </c>
      <c r="I34" s="41">
        <f t="shared" si="1"/>
        <v>2600000</v>
      </c>
      <c r="J34" s="29">
        <f t="shared" si="2"/>
        <v>17333.333333333332</v>
      </c>
      <c r="K34" s="42">
        <f t="shared" si="38"/>
        <v>-23383.696842492369</v>
      </c>
      <c r="L34" s="33">
        <f t="shared" si="39"/>
        <v>0</v>
      </c>
      <c r="M34" s="196">
        <f t="shared" si="33"/>
        <v>17480.468862502577</v>
      </c>
      <c r="N34" s="29">
        <f t="shared" si="34"/>
        <v>17333.333333333332</v>
      </c>
      <c r="O34" s="30">
        <f t="shared" si="40"/>
        <v>147.13552916924527</v>
      </c>
      <c r="P34" s="43"/>
      <c r="Q34" s="44"/>
      <c r="R34" s="33"/>
      <c r="V34" s="45"/>
      <c r="W34" s="7"/>
      <c r="X34" s="7"/>
      <c r="Y34" s="46"/>
      <c r="Z34" s="7">
        <f t="shared" si="35"/>
        <v>45843.029470632042</v>
      </c>
      <c r="AA34" s="7"/>
      <c r="AC34" s="7"/>
    </row>
    <row r="35" spans="1:29">
      <c r="A35" s="18">
        <v>43881</v>
      </c>
      <c r="B35" s="37">
        <f t="shared" si="6"/>
        <v>-84777.777777777781</v>
      </c>
      <c r="C35" s="29">
        <v>-40000</v>
      </c>
      <c r="D35" s="29">
        <f t="shared" ref="D35" si="44">-I33*O$4*(A35-A33)/360</f>
        <v>-44777.777777777781</v>
      </c>
      <c r="E35" s="38"/>
      <c r="F35" s="39"/>
      <c r="G35" s="47"/>
      <c r="H35" s="24">
        <f t="shared" si="37"/>
        <v>2537092.1390293972</v>
      </c>
      <c r="I35" s="41">
        <f t="shared" si="1"/>
        <v>2560000</v>
      </c>
      <c r="J35" s="29">
        <f t="shared" si="2"/>
        <v>0</v>
      </c>
      <c r="K35" s="42">
        <f t="shared" si="38"/>
        <v>-22907.860970602829</v>
      </c>
      <c r="L35" s="33">
        <f t="shared" si="39"/>
        <v>0</v>
      </c>
      <c r="M35" s="196">
        <f t="shared" si="31"/>
        <v>27920.280316333985</v>
      </c>
      <c r="N35" s="29">
        <f t="shared" si="32"/>
        <v>27444.444444444445</v>
      </c>
      <c r="O35" s="30">
        <f t="shared" si="40"/>
        <v>475.8358718895397</v>
      </c>
      <c r="P35" s="43"/>
      <c r="Q35" s="44"/>
      <c r="R35" s="33"/>
      <c r="V35" s="45"/>
      <c r="W35" s="7"/>
      <c r="X35" s="7"/>
      <c r="Y35" s="46"/>
      <c r="Z35" s="7"/>
      <c r="AA35" s="7"/>
      <c r="AC35" s="7"/>
    </row>
    <row r="36" spans="1:29">
      <c r="A36" s="18">
        <v>43890</v>
      </c>
      <c r="B36" s="37">
        <f t="shared" si="6"/>
        <v>0</v>
      </c>
      <c r="C36" s="29"/>
      <c r="D36" s="29">
        <v>0</v>
      </c>
      <c r="E36" s="38"/>
      <c r="F36" s="39"/>
      <c r="G36" s="47"/>
      <c r="H36" s="24">
        <f t="shared" si="37"/>
        <v>2551428.4744186155</v>
      </c>
      <c r="I36" s="41">
        <f t="shared" si="1"/>
        <v>2560000</v>
      </c>
      <c r="J36" s="29">
        <f t="shared" si="2"/>
        <v>14222.222222222223</v>
      </c>
      <c r="K36" s="42">
        <f t="shared" si="38"/>
        <v>-22793.747803606544</v>
      </c>
      <c r="L36" s="33">
        <f t="shared" si="39"/>
        <v>0</v>
      </c>
      <c r="M36" s="196">
        <f t="shared" si="33"/>
        <v>14336.33538921851</v>
      </c>
      <c r="N36" s="29">
        <f t="shared" si="34"/>
        <v>14222.222222222223</v>
      </c>
      <c r="O36" s="30">
        <f t="shared" si="40"/>
        <v>114.11316699628696</v>
      </c>
      <c r="P36" s="43"/>
      <c r="Q36" s="44"/>
      <c r="R36" s="33"/>
      <c r="V36" s="45"/>
      <c r="W36" s="7"/>
      <c r="X36" s="7"/>
      <c r="Y36" s="46"/>
      <c r="Z36" s="7">
        <f t="shared" si="35"/>
        <v>42256.615705552496</v>
      </c>
      <c r="AA36" s="7"/>
      <c r="AC36" s="7"/>
    </row>
    <row r="37" spans="1:29">
      <c r="A37" s="18">
        <v>43909</v>
      </c>
      <c r="B37" s="37">
        <f t="shared" si="6"/>
        <v>-79822.222222222219</v>
      </c>
      <c r="C37" s="29">
        <v>-40000</v>
      </c>
      <c r="D37" s="29">
        <f t="shared" ref="D37" si="45">-I35*O$4*(A37-A35)/360</f>
        <v>-39822.222222222219</v>
      </c>
      <c r="E37" s="38"/>
      <c r="F37" s="39"/>
      <c r="G37" s="47"/>
      <c r="H37" s="24">
        <f t="shared" si="37"/>
        <v>2497616.1093014833</v>
      </c>
      <c r="I37" s="41">
        <f t="shared" si="1"/>
        <v>2520000</v>
      </c>
      <c r="J37" s="29">
        <f t="shared" si="2"/>
        <v>0</v>
      </c>
      <c r="K37" s="42">
        <f t="shared" si="38"/>
        <v>-22383.890698516941</v>
      </c>
      <c r="L37" s="33">
        <f t="shared" si="39"/>
        <v>0</v>
      </c>
      <c r="M37" s="196">
        <f t="shared" si="31"/>
        <v>26009.857105089603</v>
      </c>
      <c r="N37" s="29">
        <f t="shared" si="32"/>
        <v>25600</v>
      </c>
      <c r="O37" s="30">
        <f t="shared" si="40"/>
        <v>409.85710508960256</v>
      </c>
      <c r="P37" s="43"/>
      <c r="Q37" s="44"/>
      <c r="R37" s="33"/>
      <c r="V37" s="45"/>
      <c r="W37" s="7"/>
      <c r="X37" s="7"/>
      <c r="Y37" s="46"/>
      <c r="Z37" s="7"/>
      <c r="AA37" s="7"/>
      <c r="AC37" s="7"/>
    </row>
    <row r="38" spans="1:29">
      <c r="A38" s="18">
        <v>43921</v>
      </c>
      <c r="B38" s="37">
        <f t="shared" si="6"/>
        <v>0</v>
      </c>
      <c r="C38" s="29"/>
      <c r="D38" s="29">
        <v>0</v>
      </c>
      <c r="E38" s="38"/>
      <c r="F38" s="39"/>
      <c r="G38" s="47"/>
      <c r="H38" s="24">
        <f t="shared" si="37"/>
        <v>2515978.8889243472</v>
      </c>
      <c r="I38" s="41">
        <f t="shared" si="1"/>
        <v>2520000</v>
      </c>
      <c r="J38" s="29">
        <f t="shared" si="2"/>
        <v>18200</v>
      </c>
      <c r="K38" s="42">
        <f t="shared" si="38"/>
        <v>-22221.11107565284</v>
      </c>
      <c r="L38" s="33">
        <f t="shared" si="39"/>
        <v>0</v>
      </c>
      <c r="M38" s="196">
        <f t="shared" si="33"/>
        <v>18362.779622864102</v>
      </c>
      <c r="N38" s="29">
        <f t="shared" si="34"/>
        <v>18200</v>
      </c>
      <c r="O38" s="30">
        <f t="shared" si="40"/>
        <v>162.77962286410184</v>
      </c>
      <c r="P38" s="43"/>
      <c r="Q38" s="44"/>
      <c r="R38" s="33"/>
      <c r="V38" s="45"/>
      <c r="W38" s="7"/>
      <c r="X38" s="7"/>
      <c r="Y38" s="46"/>
      <c r="Z38" s="7">
        <f t="shared" si="35"/>
        <v>44372.636727953708</v>
      </c>
      <c r="AA38" s="7"/>
      <c r="AC38" s="7"/>
    </row>
    <row r="39" spans="1:29">
      <c r="A39" s="18">
        <v>43941</v>
      </c>
      <c r="B39" s="37">
        <f t="shared" si="6"/>
        <v>-84800</v>
      </c>
      <c r="C39" s="29">
        <v>-40000</v>
      </c>
      <c r="D39" s="29">
        <f t="shared" ref="D39" si="46">-I37*O$4*(A39-A37)/360</f>
        <v>-44800</v>
      </c>
      <c r="E39" s="38"/>
      <c r="F39" s="39"/>
      <c r="G39" s="47"/>
      <c r="H39" s="24">
        <f t="shared" si="37"/>
        <v>2458259.9219793212</v>
      </c>
      <c r="I39" s="41">
        <f t="shared" si="1"/>
        <v>2480000</v>
      </c>
      <c r="J39" s="29">
        <f t="shared" si="2"/>
        <v>0</v>
      </c>
      <c r="K39" s="42">
        <f t="shared" si="38"/>
        <v>-21740.078020678822</v>
      </c>
      <c r="L39" s="33">
        <f t="shared" si="39"/>
        <v>0</v>
      </c>
      <c r="M39" s="196">
        <f t="shared" si="31"/>
        <v>27081.033054974017</v>
      </c>
      <c r="N39" s="29">
        <f t="shared" si="32"/>
        <v>26600</v>
      </c>
      <c r="O39" s="30">
        <f t="shared" si="40"/>
        <v>481.03305497401743</v>
      </c>
      <c r="P39" s="43"/>
      <c r="Q39" s="44"/>
      <c r="R39" s="33"/>
      <c r="V39" s="45"/>
      <c r="W39" s="7"/>
      <c r="X39" s="7"/>
      <c r="Y39" s="46"/>
      <c r="Z39" s="7"/>
      <c r="AA39" s="7"/>
      <c r="AC39" s="7"/>
    </row>
    <row r="40" spans="1:29">
      <c r="A40" s="18">
        <v>43951</v>
      </c>
      <c r="B40" s="37">
        <f t="shared" si="6"/>
        <v>0</v>
      </c>
      <c r="C40" s="29"/>
      <c r="D40" s="29">
        <v>0</v>
      </c>
      <c r="E40" s="38"/>
      <c r="F40" s="39"/>
      <c r="G40" s="47"/>
      <c r="H40" s="24">
        <f t="shared" si="37"/>
        <v>2473544.1981822504</v>
      </c>
      <c r="I40" s="41">
        <f t="shared" si="1"/>
        <v>2480000</v>
      </c>
      <c r="J40" s="29">
        <f t="shared" si="2"/>
        <v>15155.555555555555</v>
      </c>
      <c r="K40" s="42">
        <f t="shared" si="38"/>
        <v>-21611.357373305331</v>
      </c>
      <c r="L40" s="33">
        <f t="shared" si="39"/>
        <v>0</v>
      </c>
      <c r="M40" s="196">
        <f t="shared" si="33"/>
        <v>15284.276202929046</v>
      </c>
      <c r="N40" s="29">
        <f t="shared" si="34"/>
        <v>15155.555555555555</v>
      </c>
      <c r="O40" s="30">
        <f t="shared" si="40"/>
        <v>128.72064737349137</v>
      </c>
      <c r="P40" s="43"/>
      <c r="Q40" s="44"/>
      <c r="R40" s="33"/>
      <c r="V40" s="45"/>
      <c r="W40" s="7"/>
      <c r="X40" s="7"/>
      <c r="Y40" s="46"/>
      <c r="Z40" s="7">
        <f t="shared" si="35"/>
        <v>42365.309257903064</v>
      </c>
      <c r="AA40" s="7"/>
      <c r="AC40" s="7"/>
    </row>
    <row r="41" spans="1:29">
      <c r="A41" s="18">
        <v>43971</v>
      </c>
      <c r="B41" s="37">
        <f t="shared" si="6"/>
        <v>-81333.333333333343</v>
      </c>
      <c r="C41" s="29">
        <v>-40000</v>
      </c>
      <c r="D41" s="29">
        <f t="shared" ref="D41" si="47">-I39*O$4*(A41-A39)/360</f>
        <v>-41333.333333333336</v>
      </c>
      <c r="E41" s="38"/>
      <c r="F41" s="39"/>
      <c r="G41" s="47"/>
      <c r="H41" s="24">
        <f t="shared" si="37"/>
        <v>2418835.1471466715</v>
      </c>
      <c r="I41" s="41">
        <f t="shared" si="1"/>
        <v>2440000</v>
      </c>
      <c r="J41" s="29">
        <f t="shared" si="2"/>
        <v>0</v>
      </c>
      <c r="K41" s="42">
        <f t="shared" si="38"/>
        <v>-21164.852853328532</v>
      </c>
      <c r="L41" s="33">
        <f t="shared" si="39"/>
        <v>0</v>
      </c>
      <c r="M41" s="196">
        <f t="shared" si="31"/>
        <v>26624.282297754577</v>
      </c>
      <c r="N41" s="29">
        <f t="shared" si="32"/>
        <v>26177.777777777777</v>
      </c>
      <c r="O41" s="30">
        <f t="shared" si="40"/>
        <v>446.5045199767992</v>
      </c>
      <c r="P41" s="43"/>
      <c r="Q41" s="44"/>
      <c r="R41" s="33"/>
      <c r="V41" s="45"/>
      <c r="W41" s="7"/>
      <c r="X41" s="7"/>
      <c r="Y41" s="46"/>
      <c r="Z41" s="7"/>
      <c r="AA41" s="7"/>
      <c r="AC41" s="7"/>
    </row>
    <row r="42" spans="1:29">
      <c r="A42" s="18">
        <v>43982</v>
      </c>
      <c r="B42" s="37">
        <f t="shared" si="6"/>
        <v>0</v>
      </c>
      <c r="C42" s="29"/>
      <c r="D42" s="29">
        <v>0</v>
      </c>
      <c r="E42" s="38"/>
      <c r="F42" s="39"/>
      <c r="G42" s="47"/>
      <c r="H42" s="24">
        <f t="shared" si="37"/>
        <v>2435246.1226803493</v>
      </c>
      <c r="I42" s="41">
        <f t="shared" si="1"/>
        <v>2440000</v>
      </c>
      <c r="J42" s="29">
        <f t="shared" si="2"/>
        <v>16266.666666666666</v>
      </c>
      <c r="K42" s="42">
        <f t="shared" si="38"/>
        <v>-21020.543986317258</v>
      </c>
      <c r="L42" s="33">
        <f t="shared" si="39"/>
        <v>0</v>
      </c>
      <c r="M42" s="196">
        <f t="shared" si="33"/>
        <v>16410.975533677942</v>
      </c>
      <c r="N42" s="29">
        <f t="shared" si="34"/>
        <v>16266.666666666666</v>
      </c>
      <c r="O42" s="30">
        <f t="shared" si="40"/>
        <v>144.30886701127565</v>
      </c>
      <c r="P42" s="43"/>
      <c r="Q42" s="44"/>
      <c r="R42" s="33"/>
      <c r="V42" s="45"/>
      <c r="W42" s="7"/>
      <c r="X42" s="7"/>
      <c r="Y42" s="46"/>
      <c r="Z42" s="7">
        <f t="shared" si="35"/>
        <v>43035.257831432522</v>
      </c>
      <c r="AA42" s="7"/>
      <c r="AC42" s="7"/>
    </row>
    <row r="43" spans="1:29">
      <c r="A43" s="18">
        <v>44002</v>
      </c>
      <c r="B43" s="37">
        <f t="shared" si="6"/>
        <v>-82022.222222222219</v>
      </c>
      <c r="C43" s="29">
        <v>-40000</v>
      </c>
      <c r="D43" s="29">
        <f t="shared" ref="D43" si="48">-I41*O$4*(A43-A41)/360</f>
        <v>-42022.222222222219</v>
      </c>
      <c r="E43" s="38"/>
      <c r="F43" s="39"/>
      <c r="G43" s="47"/>
      <c r="H43" s="24">
        <f t="shared" si="37"/>
        <v>2379435.9569406435</v>
      </c>
      <c r="I43" s="41">
        <f t="shared" si="1"/>
        <v>2400000</v>
      </c>
      <c r="J43" s="29">
        <f t="shared" si="2"/>
        <v>0</v>
      </c>
      <c r="K43" s="42">
        <f t="shared" si="38"/>
        <v>-20564.043059356409</v>
      </c>
      <c r="L43" s="33">
        <f t="shared" si="39"/>
        <v>0</v>
      </c>
      <c r="M43" s="196">
        <f t="shared" si="31"/>
        <v>26212.056482516404</v>
      </c>
      <c r="N43" s="29">
        <f t="shared" si="32"/>
        <v>25755.555555555555</v>
      </c>
      <c r="O43" s="30">
        <f t="shared" si="40"/>
        <v>456.50092696084903</v>
      </c>
      <c r="P43" s="43"/>
      <c r="Q43" s="44"/>
      <c r="R43" s="33"/>
      <c r="V43" s="45"/>
      <c r="W43" s="7"/>
      <c r="X43" s="7"/>
      <c r="Y43" s="46"/>
      <c r="Z43" s="7"/>
      <c r="AA43" s="7"/>
      <c r="AC43" s="7"/>
    </row>
    <row r="44" spans="1:29">
      <c r="A44" s="18">
        <v>44012</v>
      </c>
      <c r="B44" s="37">
        <f t="shared" si="6"/>
        <v>0</v>
      </c>
      <c r="C44" s="29"/>
      <c r="D44" s="29">
        <v>0</v>
      </c>
      <c r="E44" s="38"/>
      <c r="F44" s="39"/>
      <c r="G44" s="47"/>
      <c r="H44" s="24">
        <f t="shared" si="37"/>
        <v>2394230.1436935966</v>
      </c>
      <c r="I44" s="41">
        <f t="shared" si="1"/>
        <v>2400000</v>
      </c>
      <c r="J44" s="29">
        <f t="shared" si="2"/>
        <v>14666.666666666666</v>
      </c>
      <c r="K44" s="42">
        <f t="shared" si="38"/>
        <v>-20436.522973070143</v>
      </c>
      <c r="L44" s="33">
        <f t="shared" si="39"/>
        <v>0</v>
      </c>
      <c r="M44" s="196">
        <f t="shared" si="33"/>
        <v>14794.186752952932</v>
      </c>
      <c r="N44" s="29">
        <f t="shared" si="34"/>
        <v>14666.666666666666</v>
      </c>
      <c r="O44" s="30">
        <f t="shared" si="40"/>
        <v>127.52008628626572</v>
      </c>
      <c r="P44" s="43"/>
      <c r="Q44" s="44"/>
      <c r="R44" s="33"/>
      <c r="V44" s="45"/>
      <c r="W44" s="7"/>
      <c r="X44" s="7"/>
      <c r="Y44" s="46"/>
      <c r="Z44" s="7">
        <f t="shared" si="35"/>
        <v>41006.243235469337</v>
      </c>
      <c r="AA44" s="7"/>
      <c r="AC44" s="7"/>
    </row>
    <row r="45" spans="1:29">
      <c r="A45" s="18">
        <v>44030</v>
      </c>
      <c r="B45" s="37">
        <f t="shared" si="6"/>
        <v>-77333.333333333343</v>
      </c>
      <c r="C45" s="29">
        <v>-40000</v>
      </c>
      <c r="D45" s="29">
        <f t="shared" ref="D45" si="49">-I43*O$4*(A45-A43)/360</f>
        <v>-37333.333333333336</v>
      </c>
      <c r="E45" s="38"/>
      <c r="F45" s="39"/>
      <c r="G45" s="47"/>
      <c r="H45" s="24">
        <f t="shared" si="37"/>
        <v>2339941.6833993332</v>
      </c>
      <c r="I45" s="41">
        <f t="shared" si="1"/>
        <v>2360000</v>
      </c>
      <c r="J45" s="29">
        <f t="shared" si="2"/>
        <v>0</v>
      </c>
      <c r="K45" s="42">
        <f t="shared" si="38"/>
        <v>-20058.316600666891</v>
      </c>
      <c r="L45" s="33">
        <f t="shared" si="39"/>
        <v>0</v>
      </c>
      <c r="M45" s="196">
        <f t="shared" si="31"/>
        <v>23044.87303906992</v>
      </c>
      <c r="N45" s="29">
        <f t="shared" si="32"/>
        <v>22666.666666666668</v>
      </c>
      <c r="O45" s="30">
        <f t="shared" si="40"/>
        <v>378.20637240325232</v>
      </c>
      <c r="P45" s="43"/>
      <c r="Q45" s="44"/>
      <c r="R45" s="33"/>
      <c r="V45" s="45"/>
      <c r="W45" s="7"/>
      <c r="X45" s="7"/>
      <c r="Y45" s="46"/>
      <c r="Z45" s="7"/>
      <c r="AA45" s="7"/>
      <c r="AC45" s="7"/>
    </row>
    <row r="46" spans="1:29">
      <c r="A46" s="18">
        <v>44043</v>
      </c>
      <c r="B46" s="37">
        <f t="shared" si="6"/>
        <v>0</v>
      </c>
      <c r="C46" s="29"/>
      <c r="D46" s="29">
        <v>0</v>
      </c>
      <c r="E46" s="38"/>
      <c r="F46" s="39"/>
      <c r="G46" s="47"/>
      <c r="H46" s="24">
        <f t="shared" si="37"/>
        <v>2358473.7975084316</v>
      </c>
      <c r="I46" s="41">
        <f t="shared" si="1"/>
        <v>2360000</v>
      </c>
      <c r="J46" s="29">
        <f t="shared" si="2"/>
        <v>18355.555555555555</v>
      </c>
      <c r="K46" s="42">
        <f t="shared" si="38"/>
        <v>-19881.758047123836</v>
      </c>
      <c r="L46" s="33">
        <f t="shared" si="39"/>
        <v>0</v>
      </c>
      <c r="M46" s="196">
        <f t="shared" si="33"/>
        <v>18532.114109098609</v>
      </c>
      <c r="N46" s="29">
        <f t="shared" si="34"/>
        <v>18355.555555555555</v>
      </c>
      <c r="O46" s="30">
        <f t="shared" si="40"/>
        <v>176.55855354305459</v>
      </c>
      <c r="P46" s="43"/>
      <c r="Q46" s="44"/>
      <c r="R46" s="33"/>
      <c r="V46" s="45"/>
      <c r="W46" s="7"/>
      <c r="X46" s="7"/>
      <c r="Y46" s="46"/>
      <c r="Z46" s="7">
        <f t="shared" si="35"/>
        <v>41576.987148168526</v>
      </c>
      <c r="AA46" s="7"/>
      <c r="AC46" s="7"/>
    </row>
    <row r="47" spans="1:29">
      <c r="A47" s="18">
        <v>44063</v>
      </c>
      <c r="B47" s="37">
        <f t="shared" si="6"/>
        <v>-83266.666666666657</v>
      </c>
      <c r="C47" s="29">
        <v>-40000</v>
      </c>
      <c r="D47" s="29">
        <f t="shared" ref="D47" si="50">-I45*O$4*(A47-A45)/360</f>
        <v>-43266.666666666664</v>
      </c>
      <c r="E47" s="38"/>
      <c r="F47" s="39"/>
      <c r="G47" s="47"/>
      <c r="H47" s="24">
        <f t="shared" si="37"/>
        <v>2300592.8394225403</v>
      </c>
      <c r="I47" s="41">
        <f t="shared" si="1"/>
        <v>2320000</v>
      </c>
      <c r="J47" s="29">
        <f t="shared" si="2"/>
        <v>0</v>
      </c>
      <c r="K47" s="42">
        <f t="shared" si="38"/>
        <v>-19407.160577459792</v>
      </c>
      <c r="L47" s="33">
        <f t="shared" si="39"/>
        <v>0</v>
      </c>
      <c r="M47" s="196">
        <f t="shared" si="31"/>
        <v>25385.708580775154</v>
      </c>
      <c r="N47" s="29">
        <f t="shared" si="32"/>
        <v>24911.111111111109</v>
      </c>
      <c r="O47" s="30">
        <f t="shared" si="40"/>
        <v>474.59746966404418</v>
      </c>
      <c r="P47" s="43"/>
      <c r="Q47" s="44"/>
      <c r="R47" s="33"/>
      <c r="V47" s="45"/>
      <c r="W47" s="7"/>
      <c r="X47" s="7"/>
      <c r="Y47" s="46"/>
      <c r="Z47" s="7"/>
      <c r="AA47" s="7"/>
      <c r="AC47" s="7"/>
    </row>
    <row r="48" spans="1:29">
      <c r="A48" s="18">
        <v>44074</v>
      </c>
      <c r="B48" s="37">
        <f t="shared" si="6"/>
        <v>0</v>
      </c>
      <c r="C48" s="29"/>
      <c r="D48" s="29">
        <v>0</v>
      </c>
      <c r="E48" s="38"/>
      <c r="F48" s="39"/>
      <c r="G48" s="47"/>
      <c r="H48" s="24">
        <f t="shared" si="37"/>
        <v>2316201.5810291166</v>
      </c>
      <c r="I48" s="41">
        <f t="shared" si="1"/>
        <v>2320000</v>
      </c>
      <c r="J48" s="29">
        <f t="shared" si="2"/>
        <v>15466.666666666666</v>
      </c>
      <c r="K48" s="42">
        <f t="shared" si="38"/>
        <v>-19265.085637549906</v>
      </c>
      <c r="L48" s="33">
        <f t="shared" si="39"/>
        <v>0</v>
      </c>
      <c r="M48" s="196">
        <f t="shared" si="33"/>
        <v>15608.741606576554</v>
      </c>
      <c r="N48" s="29">
        <f t="shared" si="34"/>
        <v>15466.666666666666</v>
      </c>
      <c r="O48" s="30">
        <f t="shared" si="40"/>
        <v>142.07493990988769</v>
      </c>
      <c r="P48" s="43"/>
      <c r="Q48" s="44"/>
      <c r="R48" s="33"/>
      <c r="V48" s="45"/>
      <c r="W48" s="7"/>
      <c r="X48" s="7"/>
      <c r="Y48" s="46"/>
      <c r="Z48" s="7">
        <f t="shared" si="35"/>
        <v>40994.450187351707</v>
      </c>
      <c r="AA48" s="7"/>
      <c r="AC48" s="7"/>
    </row>
    <row r="49" spans="1:29">
      <c r="A49" s="18">
        <v>44093</v>
      </c>
      <c r="B49" s="37">
        <f t="shared" si="6"/>
        <v>-78666.666666666657</v>
      </c>
      <c r="C49" s="29">
        <v>-40000</v>
      </c>
      <c r="D49" s="29">
        <f t="shared" ref="D49" si="51">-I47*O$4*(A49-A47)/360</f>
        <v>-38666.666666666664</v>
      </c>
      <c r="E49" s="38"/>
      <c r="F49" s="39"/>
      <c r="G49" s="47"/>
      <c r="H49" s="24">
        <f t="shared" si="37"/>
        <v>2261146.8136389437</v>
      </c>
      <c r="I49" s="41">
        <f t="shared" si="1"/>
        <v>2280000</v>
      </c>
      <c r="J49" s="29">
        <f t="shared" si="2"/>
        <v>0</v>
      </c>
      <c r="K49" s="42">
        <f t="shared" si="38"/>
        <v>-18853.18636105636</v>
      </c>
      <c r="L49" s="33">
        <f t="shared" si="39"/>
        <v>0</v>
      </c>
      <c r="M49" s="196">
        <f t="shared" si="31"/>
        <v>23611.899276493546</v>
      </c>
      <c r="N49" s="29">
        <f t="shared" si="32"/>
        <v>23200</v>
      </c>
      <c r="O49" s="30">
        <f t="shared" si="40"/>
        <v>411.89927649354649</v>
      </c>
      <c r="P49" s="43"/>
      <c r="Q49" s="44"/>
      <c r="R49" s="33"/>
      <c r="V49" s="45"/>
      <c r="W49" s="7"/>
      <c r="X49" s="7"/>
      <c r="Y49" s="46"/>
      <c r="Z49" s="7"/>
      <c r="AA49" s="7"/>
      <c r="AC49" s="7"/>
    </row>
    <row r="50" spans="1:29">
      <c r="A50" s="18">
        <v>44104</v>
      </c>
      <c r="B50" s="37">
        <f t="shared" si="6"/>
        <v>0</v>
      </c>
      <c r="C50" s="29"/>
      <c r="D50" s="29">
        <v>0</v>
      </c>
      <c r="E50" s="38"/>
      <c r="F50" s="39"/>
      <c r="G50" s="47"/>
      <c r="H50" s="24">
        <f t="shared" si="37"/>
        <v>2276487.9273483488</v>
      </c>
      <c r="I50" s="41">
        <f t="shared" si="1"/>
        <v>2280000</v>
      </c>
      <c r="J50" s="29">
        <f t="shared" si="2"/>
        <v>15200</v>
      </c>
      <c r="K50" s="42">
        <f t="shared" si="38"/>
        <v>-18712.072651651328</v>
      </c>
      <c r="L50" s="33">
        <f t="shared" si="39"/>
        <v>0</v>
      </c>
      <c r="M50" s="196">
        <f t="shared" si="33"/>
        <v>15341.113709405032</v>
      </c>
      <c r="N50" s="29">
        <f t="shared" si="34"/>
        <v>15200</v>
      </c>
      <c r="O50" s="30">
        <f t="shared" si="40"/>
        <v>141.11370940503184</v>
      </c>
      <c r="P50" s="43"/>
      <c r="Q50" s="44"/>
      <c r="R50" s="33"/>
      <c r="V50" s="45"/>
      <c r="W50" s="7"/>
      <c r="X50" s="7"/>
      <c r="Y50" s="46"/>
      <c r="Z50" s="7">
        <f t="shared" si="35"/>
        <v>38953.012985898575</v>
      </c>
      <c r="AA50" s="7"/>
      <c r="AC50" s="7"/>
    </row>
    <row r="51" spans="1:29">
      <c r="A51" s="18">
        <v>44124</v>
      </c>
      <c r="B51" s="37">
        <f t="shared" si="6"/>
        <v>-79266.666666666657</v>
      </c>
      <c r="C51" s="29">
        <v>-40000</v>
      </c>
      <c r="D51" s="29">
        <f t="shared" ref="D51" si="52">-I49*O$4*(A51-A49)/360</f>
        <v>-39266.666666666664</v>
      </c>
      <c r="E51" s="38"/>
      <c r="F51" s="39"/>
      <c r="G51" s="47"/>
      <c r="H51" s="24">
        <f t="shared" si="37"/>
        <v>2221724.5047594281</v>
      </c>
      <c r="I51" s="41">
        <f t="shared" si="1"/>
        <v>2240000</v>
      </c>
      <c r="J51" s="29">
        <f t="shared" si="2"/>
        <v>0</v>
      </c>
      <c r="K51" s="42">
        <f t="shared" si="38"/>
        <v>-18275.495240571818</v>
      </c>
      <c r="L51" s="33">
        <f t="shared" si="39"/>
        <v>0</v>
      </c>
      <c r="M51" s="196">
        <f t="shared" si="31"/>
        <v>24503.244077746178</v>
      </c>
      <c r="N51" s="29">
        <f t="shared" si="32"/>
        <v>24066.666666666668</v>
      </c>
      <c r="O51" s="30">
        <f t="shared" si="40"/>
        <v>436.57741107951006</v>
      </c>
      <c r="P51" s="43"/>
      <c r="Q51" s="44"/>
      <c r="R51" s="33"/>
      <c r="V51" s="45"/>
      <c r="W51" s="7"/>
      <c r="X51" s="7"/>
      <c r="Y51" s="46"/>
      <c r="Z51" s="7"/>
      <c r="AA51" s="7"/>
      <c r="AC51" s="7"/>
    </row>
    <row r="52" spans="1:29">
      <c r="A52" s="18">
        <v>44135</v>
      </c>
      <c r="B52" s="37">
        <f t="shared" si="6"/>
        <v>0</v>
      </c>
      <c r="C52" s="29"/>
      <c r="D52" s="29">
        <v>0</v>
      </c>
      <c r="E52" s="38"/>
      <c r="F52" s="39"/>
      <c r="G52" s="47"/>
      <c r="H52" s="24">
        <f t="shared" si="37"/>
        <v>2236798.1514828065</v>
      </c>
      <c r="I52" s="41">
        <f t="shared" si="1"/>
        <v>2240000</v>
      </c>
      <c r="J52" s="29">
        <f t="shared" si="2"/>
        <v>14933.333333333334</v>
      </c>
      <c r="K52" s="42">
        <f t="shared" si="38"/>
        <v>-18135.181850526842</v>
      </c>
      <c r="L52" s="33">
        <f t="shared" si="39"/>
        <v>0</v>
      </c>
      <c r="M52" s="196">
        <f t="shared" si="33"/>
        <v>15073.64672337831</v>
      </c>
      <c r="N52" s="29">
        <f t="shared" si="34"/>
        <v>14933.333333333334</v>
      </c>
      <c r="O52" s="30">
        <f t="shared" si="40"/>
        <v>140.31339004497568</v>
      </c>
      <c r="P52" s="43"/>
      <c r="Q52" s="44"/>
      <c r="R52" s="33"/>
      <c r="V52" s="45"/>
      <c r="W52" s="7"/>
      <c r="X52" s="7"/>
      <c r="Y52" s="46"/>
      <c r="Z52" s="7">
        <f t="shared" si="35"/>
        <v>39576.890801124486</v>
      </c>
      <c r="AA52" s="7"/>
      <c r="AC52" s="7"/>
    </row>
    <row r="53" spans="1:29">
      <c r="A53" s="18">
        <v>44155</v>
      </c>
      <c r="B53" s="37">
        <f t="shared" si="6"/>
        <v>-78577.777777777781</v>
      </c>
      <c r="C53" s="29">
        <v>-40000</v>
      </c>
      <c r="D53" s="29">
        <f t="shared" ref="D53" si="53">-I51*O$4*(A53-A51)/360</f>
        <v>-38577.777777777781</v>
      </c>
      <c r="E53" s="38"/>
      <c r="F53" s="39"/>
      <c r="G53" s="47"/>
      <c r="H53" s="24">
        <f t="shared" si="37"/>
        <v>2182296.412237891</v>
      </c>
      <c r="I53" s="41">
        <f t="shared" si="1"/>
        <v>2200000</v>
      </c>
      <c r="J53" s="29">
        <f t="shared" si="2"/>
        <v>0</v>
      </c>
      <c r="K53" s="42">
        <f t="shared" si="38"/>
        <v>-17703.587762108986</v>
      </c>
      <c r="L53" s="33">
        <f t="shared" si="39"/>
        <v>0</v>
      </c>
      <c r="M53" s="196">
        <f t="shared" si="31"/>
        <v>24076.038532862302</v>
      </c>
      <c r="N53" s="29">
        <f t="shared" si="32"/>
        <v>23644.444444444445</v>
      </c>
      <c r="O53" s="30">
        <f t="shared" si="40"/>
        <v>431.59408841785626</v>
      </c>
      <c r="P53" s="43"/>
      <c r="Q53" s="44"/>
      <c r="R53" s="33"/>
      <c r="V53" s="45"/>
      <c r="W53" s="7"/>
      <c r="X53" s="7"/>
      <c r="Y53" s="46"/>
      <c r="Z53" s="7"/>
      <c r="AA53" s="7"/>
      <c r="AC53" s="7"/>
    </row>
    <row r="54" spans="1:29">
      <c r="A54" s="18">
        <v>44165</v>
      </c>
      <c r="B54" s="37">
        <f t="shared" si="6"/>
        <v>0</v>
      </c>
      <c r="C54" s="29"/>
      <c r="D54" s="29">
        <v>0</v>
      </c>
      <c r="E54" s="38"/>
      <c r="F54" s="39"/>
      <c r="G54" s="47"/>
      <c r="H54" s="24">
        <f t="shared" si="37"/>
        <v>2195864.8802518221</v>
      </c>
      <c r="I54" s="41">
        <f t="shared" si="1"/>
        <v>2200000</v>
      </c>
      <c r="J54" s="29">
        <f t="shared" si="2"/>
        <v>13444.444444444445</v>
      </c>
      <c r="K54" s="42">
        <f t="shared" si="38"/>
        <v>-17579.564192622391</v>
      </c>
      <c r="L54" s="33">
        <f t="shared" si="39"/>
        <v>0</v>
      </c>
      <c r="M54" s="196">
        <f t="shared" si="33"/>
        <v>13568.46801393104</v>
      </c>
      <c r="N54" s="29">
        <f t="shared" si="34"/>
        <v>13444.444444444445</v>
      </c>
      <c r="O54" s="30">
        <f t="shared" si="40"/>
        <v>124.02356948659508</v>
      </c>
      <c r="P54" s="43"/>
      <c r="Q54" s="44"/>
      <c r="R54" s="33"/>
      <c r="V54" s="45"/>
      <c r="W54" s="7"/>
      <c r="X54" s="7"/>
      <c r="Y54" s="46"/>
      <c r="Z54" s="7">
        <f t="shared" si="35"/>
        <v>37644.506546793345</v>
      </c>
      <c r="AA54" s="7"/>
      <c r="AC54" s="7"/>
    </row>
    <row r="55" spans="1:29">
      <c r="A55" s="18">
        <v>44184</v>
      </c>
      <c r="B55" s="37">
        <f t="shared" si="6"/>
        <v>-75444.444444444438</v>
      </c>
      <c r="C55" s="29">
        <v>-40000</v>
      </c>
      <c r="D55" s="29">
        <f t="shared" ref="D55" si="54">-I53*O$4*(A55-A53)/360</f>
        <v>-35444.444444444445</v>
      </c>
      <c r="E55" s="38"/>
      <c r="F55" s="39"/>
      <c r="G55" s="47"/>
      <c r="H55" s="24">
        <f t="shared" si="37"/>
        <v>2142805.5946821328</v>
      </c>
      <c r="I55" s="41">
        <f t="shared" si="1"/>
        <v>2160000</v>
      </c>
      <c r="J55" s="29">
        <f t="shared" si="2"/>
        <v>0</v>
      </c>
      <c r="K55" s="42">
        <f t="shared" si="38"/>
        <v>-17194.405317867353</v>
      </c>
      <c r="L55" s="33">
        <f t="shared" si="39"/>
        <v>0</v>
      </c>
      <c r="M55" s="196">
        <f t="shared" si="31"/>
        <v>22385.158874755038</v>
      </c>
      <c r="N55" s="29">
        <f t="shared" si="32"/>
        <v>22000</v>
      </c>
      <c r="O55" s="30">
        <f t="shared" si="40"/>
        <v>385.15887475503769</v>
      </c>
      <c r="P55" s="43"/>
      <c r="Q55" s="44"/>
      <c r="R55" s="33"/>
      <c r="V55" s="45"/>
      <c r="W55" s="7"/>
      <c r="X55" s="7"/>
      <c r="Y55" s="46"/>
      <c r="Z55" s="7"/>
      <c r="AA55" s="7"/>
      <c r="AC55" s="7"/>
    </row>
    <row r="56" spans="1:29">
      <c r="A56" s="18">
        <v>44196</v>
      </c>
      <c r="B56" s="37">
        <f t="shared" si="6"/>
        <v>0</v>
      </c>
      <c r="C56" s="29"/>
      <c r="D56" s="29">
        <v>0</v>
      </c>
      <c r="E56" s="38"/>
      <c r="F56" s="39"/>
      <c r="G56" s="47"/>
      <c r="H56" s="24">
        <f t="shared" si="37"/>
        <v>2158559.763933064</v>
      </c>
      <c r="I56" s="41">
        <f t="shared" si="1"/>
        <v>2160000</v>
      </c>
      <c r="J56" s="29">
        <f t="shared" si="2"/>
        <v>15600</v>
      </c>
      <c r="K56" s="42">
        <f t="shared" si="38"/>
        <v>-17040.236066935984</v>
      </c>
      <c r="L56" s="33">
        <f t="shared" si="39"/>
        <v>0</v>
      </c>
      <c r="M56" s="196">
        <f t="shared" si="33"/>
        <v>15754.169250931367</v>
      </c>
      <c r="N56" s="29">
        <f t="shared" si="34"/>
        <v>15600</v>
      </c>
      <c r="O56" s="30">
        <f t="shared" si="40"/>
        <v>154.16925093136706</v>
      </c>
      <c r="P56" s="43"/>
      <c r="Q56" s="44"/>
      <c r="R56" s="33"/>
      <c r="V56" s="45"/>
      <c r="W56" s="7"/>
      <c r="X56" s="7"/>
      <c r="Y56" s="46"/>
      <c r="Z56" s="7">
        <f t="shared" si="35"/>
        <v>38139.328125686407</v>
      </c>
      <c r="AA56" s="7"/>
      <c r="AC56" s="7"/>
    </row>
    <row r="57" spans="1:29">
      <c r="A57" s="18">
        <v>44216</v>
      </c>
      <c r="B57" s="37">
        <f t="shared" si="6"/>
        <v>-78400</v>
      </c>
      <c r="C57" s="29">
        <v>-40000</v>
      </c>
      <c r="D57" s="29">
        <f t="shared" ref="D57" si="55">-I55*O$4*(A57-A55)/360</f>
        <v>-38400</v>
      </c>
      <c r="E57" s="38"/>
      <c r="F57" s="39"/>
      <c r="G57" s="47"/>
      <c r="H57" s="24">
        <f t="shared" si="37"/>
        <v>2103393.6744303019</v>
      </c>
      <c r="I57" s="41">
        <f t="shared" si="1"/>
        <v>2120000</v>
      </c>
      <c r="J57" s="29">
        <f t="shared" si="2"/>
        <v>0</v>
      </c>
      <c r="K57" s="42">
        <f t="shared" si="38"/>
        <v>-16606.325569698132</v>
      </c>
      <c r="L57" s="33">
        <f t="shared" si="39"/>
        <v>0</v>
      </c>
      <c r="M57" s="196">
        <f t="shared" si="31"/>
        <v>23233.910497237852</v>
      </c>
      <c r="N57" s="29">
        <f t="shared" si="32"/>
        <v>22800</v>
      </c>
      <c r="O57" s="30">
        <f t="shared" si="40"/>
        <v>433.91049723785181</v>
      </c>
      <c r="P57" s="43"/>
      <c r="Q57" s="44"/>
      <c r="R57" s="33"/>
      <c r="V57" s="45"/>
      <c r="W57" s="7"/>
      <c r="X57" s="7"/>
      <c r="Y57" s="46"/>
      <c r="Z57" s="7"/>
      <c r="AA57" s="7"/>
      <c r="AC57" s="7"/>
    </row>
    <row r="58" spans="1:29">
      <c r="A58" s="18">
        <v>44227</v>
      </c>
      <c r="B58" s="37">
        <f t="shared" si="6"/>
        <v>0</v>
      </c>
      <c r="C58" s="29"/>
      <c r="D58" s="29">
        <v>0</v>
      </c>
      <c r="E58" s="38"/>
      <c r="F58" s="39"/>
      <c r="G58" s="47"/>
      <c r="H58" s="24">
        <f t="shared" si="37"/>
        <v>2117664.486630748</v>
      </c>
      <c r="I58" s="41">
        <f t="shared" si="1"/>
        <v>2120000</v>
      </c>
      <c r="J58" s="29">
        <f t="shared" si="2"/>
        <v>14133.333333333334</v>
      </c>
      <c r="K58" s="42">
        <f t="shared" si="38"/>
        <v>-16468.846702585339</v>
      </c>
      <c r="L58" s="33">
        <f t="shared" si="39"/>
        <v>0</v>
      </c>
      <c r="M58" s="196">
        <f t="shared" si="33"/>
        <v>14270.812200446129</v>
      </c>
      <c r="N58" s="29">
        <f t="shared" si="34"/>
        <v>14133.333333333334</v>
      </c>
      <c r="O58" s="30">
        <f t="shared" si="40"/>
        <v>137.47886711279534</v>
      </c>
      <c r="P58" s="43"/>
      <c r="Q58" s="44"/>
      <c r="R58" s="33"/>
      <c r="V58" s="45"/>
      <c r="W58" s="7"/>
      <c r="X58" s="7"/>
      <c r="Y58" s="46"/>
      <c r="Z58" s="7">
        <f t="shared" si="35"/>
        <v>37504.722697683981</v>
      </c>
      <c r="AA58" s="7"/>
      <c r="AC58" s="7"/>
    </row>
    <row r="59" spans="1:29">
      <c r="A59" s="18">
        <v>44247</v>
      </c>
      <c r="B59" s="37">
        <f t="shared" si="6"/>
        <v>-76511.111111111109</v>
      </c>
      <c r="C59" s="29">
        <v>-40000</v>
      </c>
      <c r="D59" s="29">
        <f t="shared" ref="D59" si="56">-I57*O$4*(A59-A57)/360</f>
        <v>-36511.111111111109</v>
      </c>
      <c r="E59" s="38"/>
      <c r="F59" s="39"/>
      <c r="G59" s="47"/>
      <c r="H59" s="24">
        <f t="shared" si="37"/>
        <v>2063947.1049162734</v>
      </c>
      <c r="I59" s="41">
        <f t="shared" si="1"/>
        <v>2080000</v>
      </c>
      <c r="J59" s="29">
        <f t="shared" si="2"/>
        <v>0</v>
      </c>
      <c r="K59" s="42">
        <f t="shared" si="38"/>
        <v>-16052.895083726562</v>
      </c>
      <c r="L59" s="33">
        <f t="shared" si="39"/>
        <v>0</v>
      </c>
      <c r="M59" s="196">
        <f t="shared" si="31"/>
        <v>22793.729396636554</v>
      </c>
      <c r="N59" s="29">
        <f t="shared" si="32"/>
        <v>22377.777777777777</v>
      </c>
      <c r="O59" s="30">
        <f t="shared" si="40"/>
        <v>415.95161885877678</v>
      </c>
      <c r="P59" s="43"/>
      <c r="Q59" s="44"/>
      <c r="R59" s="33"/>
      <c r="V59" s="45"/>
      <c r="W59" s="7"/>
      <c r="X59" s="7"/>
      <c r="Y59" s="46"/>
      <c r="Z59" s="7"/>
      <c r="AA59" s="7"/>
      <c r="AC59" s="7"/>
    </row>
    <row r="60" spans="1:29">
      <c r="A60" s="18">
        <v>44255</v>
      </c>
      <c r="B60" s="37">
        <f t="shared" si="6"/>
        <v>0</v>
      </c>
      <c r="C60" s="29"/>
      <c r="D60" s="29">
        <v>0</v>
      </c>
      <c r="E60" s="38"/>
      <c r="F60" s="39"/>
      <c r="G60" s="47"/>
      <c r="H60" s="24">
        <f t="shared" si="37"/>
        <v>2074440.6085704365</v>
      </c>
      <c r="I60" s="41">
        <f t="shared" si="1"/>
        <v>2080000</v>
      </c>
      <c r="J60" s="29">
        <f t="shared" si="2"/>
        <v>10400</v>
      </c>
      <c r="K60" s="42">
        <f t="shared" si="38"/>
        <v>-15959.391429563537</v>
      </c>
      <c r="L60" s="33">
        <f t="shared" si="39"/>
        <v>0</v>
      </c>
      <c r="M60" s="196">
        <f t="shared" si="33"/>
        <v>10493.503654163025</v>
      </c>
      <c r="N60" s="29">
        <f t="shared" si="34"/>
        <v>10400</v>
      </c>
      <c r="O60" s="30">
        <f t="shared" si="40"/>
        <v>93.503654163025203</v>
      </c>
      <c r="P60" s="43"/>
      <c r="Q60" s="44"/>
      <c r="R60" s="33"/>
      <c r="V60" s="45"/>
      <c r="W60" s="7"/>
      <c r="X60" s="7"/>
      <c r="Y60" s="46"/>
      <c r="Z60" s="7">
        <f t="shared" si="35"/>
        <v>33287.233050799579</v>
      </c>
      <c r="AA60" s="7"/>
      <c r="AC60" s="7"/>
    </row>
    <row r="61" spans="1:29">
      <c r="A61" s="18">
        <v>44275</v>
      </c>
      <c r="B61" s="37">
        <f t="shared" si="6"/>
        <v>-72355.555555555562</v>
      </c>
      <c r="C61" s="29">
        <v>-40000</v>
      </c>
      <c r="D61" s="29">
        <f t="shared" ref="D61" si="57">-I59*O$4*(A61-A59)/360</f>
        <v>-32355.555555555555</v>
      </c>
      <c r="E61" s="38"/>
      <c r="F61" s="39"/>
      <c r="G61" s="47"/>
      <c r="H61" s="24">
        <f t="shared" si="37"/>
        <v>2024413.5371442903</v>
      </c>
      <c r="I61" s="41">
        <f t="shared" si="1"/>
        <v>2040000</v>
      </c>
      <c r="J61" s="29">
        <f t="shared" si="2"/>
        <v>0</v>
      </c>
      <c r="K61" s="42">
        <f t="shared" si="38"/>
        <v>-15586.46285570968</v>
      </c>
      <c r="L61" s="33">
        <f t="shared" si="39"/>
        <v>0</v>
      </c>
      <c r="M61" s="196">
        <f t="shared" si="31"/>
        <v>22328.484129409411</v>
      </c>
      <c r="N61" s="29">
        <f t="shared" si="32"/>
        <v>21955.555555555555</v>
      </c>
      <c r="O61" s="30">
        <f t="shared" si="40"/>
        <v>372.92857385385651</v>
      </c>
      <c r="P61" s="43"/>
      <c r="Q61" s="44"/>
      <c r="R61" s="33"/>
      <c r="V61" s="45"/>
      <c r="W61" s="7"/>
      <c r="X61" s="7"/>
      <c r="Y61" s="46"/>
      <c r="Z61" s="7"/>
      <c r="AA61" s="7"/>
      <c r="AC61" s="7"/>
    </row>
    <row r="62" spans="1:29">
      <c r="A62" s="18">
        <v>44286</v>
      </c>
      <c r="B62" s="37">
        <f t="shared" si="6"/>
        <v>0</v>
      </c>
      <c r="C62" s="29"/>
      <c r="D62" s="29">
        <v>0</v>
      </c>
      <c r="E62" s="38"/>
      <c r="F62" s="39"/>
      <c r="G62" s="47"/>
      <c r="H62" s="24">
        <f t="shared" si="37"/>
        <v>2038148.495918687</v>
      </c>
      <c r="I62" s="41">
        <f t="shared" si="1"/>
        <v>2040000</v>
      </c>
      <c r="J62" s="29">
        <f t="shared" si="2"/>
        <v>13600</v>
      </c>
      <c r="K62" s="42">
        <f t="shared" si="38"/>
        <v>-15451.504081312956</v>
      </c>
      <c r="L62" s="33">
        <f t="shared" si="39"/>
        <v>0</v>
      </c>
      <c r="M62" s="196">
        <f t="shared" si="33"/>
        <v>13734.958774396724</v>
      </c>
      <c r="N62" s="29">
        <f t="shared" si="34"/>
        <v>13600</v>
      </c>
      <c r="O62" s="30">
        <f t="shared" si="40"/>
        <v>134.95877439672404</v>
      </c>
      <c r="P62" s="43"/>
      <c r="Q62" s="44"/>
      <c r="R62" s="33"/>
      <c r="V62" s="45"/>
      <c r="W62" s="7"/>
      <c r="X62" s="7"/>
      <c r="Y62" s="46"/>
      <c r="Z62" s="7">
        <f t="shared" si="35"/>
        <v>36063.442903806135</v>
      </c>
      <c r="AA62" s="7"/>
      <c r="AC62" s="7"/>
    </row>
    <row r="63" spans="1:29">
      <c r="A63" s="18">
        <v>44306</v>
      </c>
      <c r="B63" s="37">
        <f t="shared" si="6"/>
        <v>-75133.333333333343</v>
      </c>
      <c r="C63" s="29">
        <v>-40000</v>
      </c>
      <c r="D63" s="29">
        <f t="shared" ref="D63" si="58">-I61*O$4*(A63-A61)/360</f>
        <v>-35133.333333333336</v>
      </c>
      <c r="E63" s="38"/>
      <c r="F63" s="39"/>
      <c r="G63" s="47"/>
      <c r="H63" s="24">
        <f t="shared" si="37"/>
        <v>1984953.0123152921</v>
      </c>
      <c r="I63" s="41">
        <f t="shared" si="1"/>
        <v>2000000</v>
      </c>
      <c r="J63" s="29">
        <f t="shared" si="2"/>
        <v>0</v>
      </c>
      <c r="K63" s="42">
        <f t="shared" si="38"/>
        <v>-15046.987684707954</v>
      </c>
      <c r="L63" s="33">
        <f t="shared" si="39"/>
        <v>0</v>
      </c>
      <c r="M63" s="196">
        <f t="shared" si="31"/>
        <v>21937.849729938334</v>
      </c>
      <c r="N63" s="29">
        <f t="shared" si="32"/>
        <v>21533.333333333332</v>
      </c>
      <c r="O63" s="30">
        <f t="shared" si="40"/>
        <v>404.51639660500223</v>
      </c>
      <c r="P63" s="43"/>
      <c r="Q63" s="44"/>
      <c r="R63" s="33"/>
      <c r="V63" s="45"/>
      <c r="W63" s="7"/>
      <c r="X63" s="7"/>
      <c r="Y63" s="46"/>
      <c r="Z63" s="7"/>
      <c r="AA63" s="7"/>
      <c r="AC63" s="7"/>
    </row>
    <row r="64" spans="1:29">
      <c r="A64" s="18">
        <v>44316</v>
      </c>
      <c r="B64" s="37">
        <f t="shared" si="6"/>
        <v>0</v>
      </c>
      <c r="C64" s="29"/>
      <c r="D64" s="29">
        <v>0</v>
      </c>
      <c r="E64" s="38"/>
      <c r="F64" s="39"/>
      <c r="G64" s="47"/>
      <c r="H64" s="24">
        <f t="shared" si="37"/>
        <v>1997294.4941166288</v>
      </c>
      <c r="I64" s="41">
        <f t="shared" si="1"/>
        <v>2000000</v>
      </c>
      <c r="J64" s="29">
        <f t="shared" si="2"/>
        <v>12222.222222222223</v>
      </c>
      <c r="K64" s="42">
        <f t="shared" si="38"/>
        <v>-14927.728105593567</v>
      </c>
      <c r="L64" s="33">
        <f t="shared" si="39"/>
        <v>0</v>
      </c>
      <c r="M64" s="196">
        <f t="shared" si="33"/>
        <v>12341.481801336609</v>
      </c>
      <c r="N64" s="29">
        <f t="shared" si="34"/>
        <v>12222.222222222223</v>
      </c>
      <c r="O64" s="30">
        <f t="shared" si="40"/>
        <v>119.25957911438672</v>
      </c>
      <c r="P64" s="43"/>
      <c r="Q64" s="44"/>
      <c r="R64" s="33"/>
      <c r="V64" s="45"/>
      <c r="W64" s="7"/>
      <c r="X64" s="7"/>
      <c r="Y64" s="46"/>
      <c r="Z64" s="7">
        <f t="shared" si="35"/>
        <v>34279.331531274947</v>
      </c>
      <c r="AA64" s="7"/>
      <c r="AC64" s="7"/>
    </row>
    <row r="65" spans="1:29">
      <c r="A65" s="18">
        <v>44336</v>
      </c>
      <c r="B65" s="37">
        <f t="shared" si="6"/>
        <v>-73333.333333333343</v>
      </c>
      <c r="C65" s="29">
        <v>-40000</v>
      </c>
      <c r="D65" s="29">
        <f t="shared" ref="D65" si="59">-I63*O$4*(A65-A63)/360</f>
        <v>-33333.333333333336</v>
      </c>
      <c r="E65" s="38"/>
      <c r="F65" s="39"/>
      <c r="G65" s="47"/>
      <c r="H65" s="24">
        <f t="shared" si="37"/>
        <v>1945459.2736863072</v>
      </c>
      <c r="I65" s="41">
        <f t="shared" si="1"/>
        <v>1960000</v>
      </c>
      <c r="J65" s="29">
        <f t="shared" si="2"/>
        <v>0</v>
      </c>
      <c r="K65" s="42">
        <f t="shared" si="38"/>
        <v>-14540.726313692783</v>
      </c>
      <c r="L65" s="33">
        <f t="shared" si="39"/>
        <v>0</v>
      </c>
      <c r="M65" s="196">
        <f t="shared" si="31"/>
        <v>21498.112903011894</v>
      </c>
      <c r="N65" s="29">
        <f t="shared" si="32"/>
        <v>21111.111111111109</v>
      </c>
      <c r="O65" s="30">
        <f t="shared" si="40"/>
        <v>387.00179190078416</v>
      </c>
      <c r="P65" s="43"/>
      <c r="Q65" s="44"/>
      <c r="R65" s="33"/>
      <c r="V65" s="45"/>
      <c r="W65" s="7"/>
      <c r="X65" s="7"/>
      <c r="Y65" s="46"/>
      <c r="Z65" s="7"/>
      <c r="AA65" s="7"/>
      <c r="AC65" s="7"/>
    </row>
    <row r="66" spans="1:29">
      <c r="A66" s="18">
        <v>44347</v>
      </c>
      <c r="B66" s="37">
        <f t="shared" si="6"/>
        <v>0</v>
      </c>
      <c r="C66" s="29"/>
      <c r="D66" s="29">
        <v>0</v>
      </c>
      <c r="E66" s="38"/>
      <c r="F66" s="39"/>
      <c r="G66" s="47"/>
      <c r="H66" s="24">
        <f t="shared" si="37"/>
        <v>1958658.5545797963</v>
      </c>
      <c r="I66" s="41">
        <f t="shared" si="1"/>
        <v>1960000</v>
      </c>
      <c r="J66" s="29">
        <f t="shared" si="2"/>
        <v>13066.666666666666</v>
      </c>
      <c r="K66" s="42">
        <f t="shared" si="38"/>
        <v>-14408.112086870395</v>
      </c>
      <c r="L66" s="33">
        <f t="shared" si="39"/>
        <v>0</v>
      </c>
      <c r="M66" s="196">
        <f t="shared" si="33"/>
        <v>13199.280893489055</v>
      </c>
      <c r="N66" s="29">
        <f t="shared" si="34"/>
        <v>13066.666666666666</v>
      </c>
      <c r="O66" s="30">
        <f t="shared" si="40"/>
        <v>132.61422682238845</v>
      </c>
      <c r="P66" s="43"/>
      <c r="Q66" s="44"/>
      <c r="R66" s="33"/>
      <c r="V66" s="45"/>
      <c r="W66" s="7"/>
      <c r="X66" s="7"/>
      <c r="Y66" s="46"/>
      <c r="Z66" s="7">
        <f t="shared" si="35"/>
        <v>34697.393796500946</v>
      </c>
      <c r="AA66" s="7"/>
      <c r="AC66" s="7"/>
    </row>
    <row r="67" spans="1:29">
      <c r="A67" s="18">
        <v>44367</v>
      </c>
      <c r="B67" s="37">
        <f t="shared" si="6"/>
        <v>-73755.555555555562</v>
      </c>
      <c r="C67" s="29">
        <v>-40000</v>
      </c>
      <c r="D67" s="29">
        <f t="shared" ref="D67" si="60">-I65*O$4*(A67-A65)/360</f>
        <v>-33755.555555555555</v>
      </c>
      <c r="E67" s="38"/>
      <c r="F67" s="39"/>
      <c r="G67" s="47"/>
      <c r="H67" s="24">
        <f t="shared" si="37"/>
        <v>1905985.2494729559</v>
      </c>
      <c r="I67" s="41">
        <f t="shared" si="1"/>
        <v>1920000</v>
      </c>
      <c r="J67" s="29">
        <f t="shared" si="2"/>
        <v>0</v>
      </c>
      <c r="K67" s="42">
        <f t="shared" si="38"/>
        <v>-14014.750527044162</v>
      </c>
      <c r="L67" s="33">
        <f t="shared" si="39"/>
        <v>0</v>
      </c>
      <c r="M67" s="196">
        <f t="shared" si="31"/>
        <v>21082.250448715124</v>
      </c>
      <c r="N67" s="29">
        <f t="shared" si="32"/>
        <v>20688.888888888891</v>
      </c>
      <c r="O67" s="30">
        <f t="shared" si="40"/>
        <v>393.36155982623313</v>
      </c>
      <c r="P67" s="43"/>
      <c r="Q67" s="44"/>
      <c r="R67" s="33"/>
      <c r="V67" s="45"/>
      <c r="W67" s="7"/>
      <c r="X67" s="7"/>
      <c r="Y67" s="46"/>
      <c r="Z67" s="7"/>
      <c r="AA67" s="7"/>
      <c r="AC67" s="7"/>
    </row>
    <row r="68" spans="1:29">
      <c r="A68" s="18">
        <v>44377</v>
      </c>
      <c r="B68" s="37">
        <f t="shared" si="6"/>
        <v>0</v>
      </c>
      <c r="C68" s="29"/>
      <c r="D68" s="29">
        <v>0</v>
      </c>
      <c r="E68" s="38"/>
      <c r="F68" s="39"/>
      <c r="G68" s="47"/>
      <c r="H68" s="24">
        <f t="shared" si="37"/>
        <v>1917835.7477588316</v>
      </c>
      <c r="I68" s="41">
        <f t="shared" si="1"/>
        <v>1920000</v>
      </c>
      <c r="J68" s="29">
        <f t="shared" si="2"/>
        <v>11733.333333333334</v>
      </c>
      <c r="K68" s="42">
        <f t="shared" si="38"/>
        <v>-13897.585574501631</v>
      </c>
      <c r="L68" s="33">
        <f t="shared" si="39"/>
        <v>0</v>
      </c>
      <c r="M68" s="196">
        <f t="shared" si="33"/>
        <v>11850.498285875865</v>
      </c>
      <c r="N68" s="29">
        <f t="shared" si="34"/>
        <v>11733.333333333334</v>
      </c>
      <c r="O68" s="30">
        <f t="shared" si="40"/>
        <v>117.16495254253095</v>
      </c>
      <c r="P68" s="43"/>
      <c r="Q68" s="44"/>
      <c r="R68" s="33"/>
      <c r="V68" s="45"/>
      <c r="W68" s="7"/>
      <c r="X68" s="7"/>
      <c r="Y68" s="46"/>
      <c r="Z68" s="7">
        <f t="shared" si="35"/>
        <v>32932.74873459099</v>
      </c>
      <c r="AA68" s="7"/>
      <c r="AC68" s="7"/>
    </row>
    <row r="69" spans="1:29">
      <c r="A69" s="18">
        <v>44397</v>
      </c>
      <c r="B69" s="37">
        <f t="shared" si="6"/>
        <v>-72000</v>
      </c>
      <c r="C69" s="29">
        <v>-40000</v>
      </c>
      <c r="D69" s="29">
        <f t="shared" ref="D69" si="61">-I67*O$4*(A69-A67)/360</f>
        <v>-32000</v>
      </c>
      <c r="E69" s="38"/>
      <c r="F69" s="39"/>
      <c r="G69" s="47"/>
      <c r="H69" s="24">
        <f t="shared" si="37"/>
        <v>1866478.597151448</v>
      </c>
      <c r="I69" s="41">
        <f t="shared" si="1"/>
        <v>1880000</v>
      </c>
      <c r="J69" s="29">
        <f t="shared" si="2"/>
        <v>0</v>
      </c>
      <c r="K69" s="42">
        <f t="shared" si="38"/>
        <v>-13521.402848551865</v>
      </c>
      <c r="L69" s="33">
        <f t="shared" si="39"/>
        <v>0</v>
      </c>
      <c r="M69" s="196">
        <f t="shared" si="31"/>
        <v>20642.849392616434</v>
      </c>
      <c r="N69" s="29">
        <f t="shared" si="32"/>
        <v>20266.666666666668</v>
      </c>
      <c r="O69" s="30">
        <f t="shared" si="40"/>
        <v>376.18272594976588</v>
      </c>
      <c r="P69" s="43"/>
      <c r="Q69" s="44"/>
      <c r="R69" s="33"/>
      <c r="V69" s="45"/>
      <c r="W69" s="7"/>
      <c r="X69" s="7"/>
      <c r="Y69" s="46"/>
      <c r="Z69" s="7"/>
      <c r="AA69" s="7"/>
      <c r="AC69" s="7"/>
    </row>
    <row r="70" spans="1:29">
      <c r="A70" s="18">
        <v>44408</v>
      </c>
      <c r="B70" s="37">
        <f t="shared" si="6"/>
        <v>0</v>
      </c>
      <c r="C70" s="29"/>
      <c r="D70" s="29">
        <v>0</v>
      </c>
      <c r="E70" s="38"/>
      <c r="F70" s="39"/>
      <c r="G70" s="47"/>
      <c r="H70" s="24">
        <f t="shared" si="37"/>
        <v>1879142.0209602674</v>
      </c>
      <c r="I70" s="41">
        <f t="shared" si="1"/>
        <v>1880000</v>
      </c>
      <c r="J70" s="29">
        <f t="shared" si="2"/>
        <v>12533.333333333334</v>
      </c>
      <c r="K70" s="42">
        <f t="shared" si="38"/>
        <v>-13391.312373065963</v>
      </c>
      <c r="L70" s="33">
        <f t="shared" si="39"/>
        <v>0</v>
      </c>
      <c r="M70" s="196">
        <f t="shared" si="33"/>
        <v>12663.423808819236</v>
      </c>
      <c r="N70" s="29">
        <f t="shared" si="34"/>
        <v>12533.333333333334</v>
      </c>
      <c r="O70" s="30">
        <f t="shared" si="40"/>
        <v>130.09047548590206</v>
      </c>
      <c r="P70" s="43"/>
      <c r="Q70" s="44"/>
      <c r="R70" s="33"/>
      <c r="V70" s="45"/>
      <c r="W70" s="7"/>
      <c r="X70" s="7"/>
      <c r="Y70" s="46"/>
      <c r="Z70" s="7">
        <f t="shared" si="35"/>
        <v>33306.273201435673</v>
      </c>
      <c r="AA70" s="7"/>
      <c r="AC70" s="7"/>
    </row>
    <row r="71" spans="1:29">
      <c r="A71" s="18">
        <v>44428</v>
      </c>
      <c r="B71" s="37">
        <f t="shared" si="6"/>
        <v>-72377.777777777781</v>
      </c>
      <c r="C71" s="29">
        <v>-40000</v>
      </c>
      <c r="D71" s="29">
        <f t="shared" ref="D71" si="62">-I69*O$4*(A71-A69)/360</f>
        <v>-32377.777777777777</v>
      </c>
      <c r="E71" s="38"/>
      <c r="F71" s="39"/>
      <c r="G71" s="47"/>
      <c r="H71" s="24">
        <f t="shared" si="37"/>
        <v>1826990.6081208584</v>
      </c>
      <c r="I71" s="41">
        <f t="shared" si="1"/>
        <v>1840000</v>
      </c>
      <c r="J71" s="29">
        <f t="shared" si="2"/>
        <v>0</v>
      </c>
      <c r="K71" s="42">
        <f t="shared" si="38"/>
        <v>-13009.39187914154</v>
      </c>
      <c r="L71" s="33">
        <f t="shared" si="39"/>
        <v>0</v>
      </c>
      <c r="M71" s="196">
        <f t="shared" si="31"/>
        <v>20226.364938368868</v>
      </c>
      <c r="N71" s="29">
        <f t="shared" si="32"/>
        <v>19844.444444444445</v>
      </c>
      <c r="O71" s="30">
        <f t="shared" si="40"/>
        <v>381.92049392442277</v>
      </c>
      <c r="P71" s="43"/>
      <c r="Q71" s="44"/>
      <c r="R71" s="33"/>
      <c r="V71" s="45"/>
      <c r="W71" s="7"/>
      <c r="X71" s="7"/>
      <c r="Y71" s="46"/>
      <c r="Z71" s="7"/>
      <c r="AA71" s="7"/>
      <c r="AC71" s="7"/>
    </row>
    <row r="72" spans="1:29">
      <c r="A72" s="18">
        <v>44439</v>
      </c>
      <c r="B72" s="37">
        <f t="shared" si="6"/>
        <v>0</v>
      </c>
      <c r="C72" s="29"/>
      <c r="D72" s="29">
        <v>0</v>
      </c>
      <c r="E72" s="38"/>
      <c r="F72" s="39"/>
      <c r="G72" s="47"/>
      <c r="H72" s="24">
        <f t="shared" si="37"/>
        <v>1839386.1193261174</v>
      </c>
      <c r="I72" s="41">
        <f t="shared" si="1"/>
        <v>1840000</v>
      </c>
      <c r="J72" s="29">
        <f t="shared" si="2"/>
        <v>12266.666666666666</v>
      </c>
      <c r="K72" s="42">
        <f t="shared" si="38"/>
        <v>-12880.547340549238</v>
      </c>
      <c r="L72" s="33">
        <f t="shared" si="39"/>
        <v>0</v>
      </c>
      <c r="M72" s="196">
        <f t="shared" si="33"/>
        <v>12395.511205258968</v>
      </c>
      <c r="N72" s="29">
        <f t="shared" si="34"/>
        <v>12266.666666666666</v>
      </c>
      <c r="O72" s="30">
        <f t="shared" si="40"/>
        <v>128.84453859230234</v>
      </c>
      <c r="P72" s="43"/>
      <c r="Q72" s="44"/>
      <c r="R72" s="33"/>
      <c r="V72" s="45"/>
      <c r="W72" s="7"/>
      <c r="X72" s="7"/>
      <c r="Y72" s="46"/>
      <c r="Z72" s="7">
        <f t="shared" si="35"/>
        <v>32621.876143627836</v>
      </c>
      <c r="AA72" s="7"/>
      <c r="AC72" s="7"/>
    </row>
    <row r="73" spans="1:29">
      <c r="A73" s="18">
        <v>44459</v>
      </c>
      <c r="B73" s="37">
        <f t="shared" si="6"/>
        <v>-71688.888888888891</v>
      </c>
      <c r="C73" s="29">
        <v>-40000</v>
      </c>
      <c r="D73" s="29">
        <f t="shared" ref="D73" si="63">-I71*O$4*(A73-A71)/360</f>
        <v>-31688.888888888891</v>
      </c>
      <c r="E73" s="38"/>
      <c r="F73" s="39"/>
      <c r="G73" s="47"/>
      <c r="H73" s="24">
        <f t="shared" si="37"/>
        <v>1787495.6780782687</v>
      </c>
      <c r="I73" s="41">
        <f t="shared" si="1"/>
        <v>1800000</v>
      </c>
      <c r="J73" s="29">
        <f t="shared" si="2"/>
        <v>0</v>
      </c>
      <c r="K73" s="42">
        <f t="shared" si="38"/>
        <v>-12504.321921731345</v>
      </c>
      <c r="L73" s="33">
        <f t="shared" si="39"/>
        <v>0</v>
      </c>
      <c r="M73" s="196">
        <f t="shared" si="31"/>
        <v>19798.447641040115</v>
      </c>
      <c r="N73" s="29">
        <f t="shared" si="32"/>
        <v>19422.222222222223</v>
      </c>
      <c r="O73" s="30">
        <f t="shared" si="40"/>
        <v>376.2254188178922</v>
      </c>
      <c r="P73" s="43"/>
      <c r="Q73" s="44"/>
      <c r="R73" s="33"/>
      <c r="V73" s="45"/>
      <c r="W73" s="7"/>
      <c r="X73" s="7"/>
      <c r="Y73" s="46"/>
      <c r="Z73" s="7"/>
      <c r="AA73" s="7"/>
      <c r="AC73" s="7"/>
    </row>
    <row r="74" spans="1:29">
      <c r="A74" s="18">
        <v>44469</v>
      </c>
      <c r="B74" s="37">
        <f t="shared" si="6"/>
        <v>0</v>
      </c>
      <c r="C74" s="29"/>
      <c r="D74" s="29">
        <v>0</v>
      </c>
      <c r="E74" s="38"/>
      <c r="F74" s="39"/>
      <c r="G74" s="47"/>
      <c r="H74" s="24">
        <f t="shared" si="37"/>
        <v>1798609.4652783189</v>
      </c>
      <c r="I74" s="41">
        <f t="shared" si="1"/>
        <v>1800000</v>
      </c>
      <c r="J74" s="29">
        <f t="shared" si="2"/>
        <v>11000</v>
      </c>
      <c r="K74" s="42">
        <f t="shared" si="38"/>
        <v>-12390.534721681139</v>
      </c>
      <c r="L74" s="33">
        <f t="shared" si="39"/>
        <v>0</v>
      </c>
      <c r="M74" s="196">
        <f t="shared" si="33"/>
        <v>11113.787200050207</v>
      </c>
      <c r="N74" s="29">
        <f t="shared" si="34"/>
        <v>11000</v>
      </c>
      <c r="O74" s="30">
        <f t="shared" si="40"/>
        <v>113.78720005020659</v>
      </c>
      <c r="P74" s="43"/>
      <c r="Q74" s="44"/>
      <c r="R74" s="33"/>
      <c r="V74" s="45"/>
      <c r="W74" s="7"/>
      <c r="X74" s="7"/>
      <c r="Y74" s="46"/>
      <c r="Z74" s="7">
        <f t="shared" si="35"/>
        <v>30912.234841090321</v>
      </c>
      <c r="AA74" s="7"/>
      <c r="AC74" s="7"/>
    </row>
    <row r="75" spans="1:29">
      <c r="A75" s="18">
        <v>44489</v>
      </c>
      <c r="B75" s="37">
        <f t="shared" si="6"/>
        <v>-70000</v>
      </c>
      <c r="C75" s="29">
        <v>-40000</v>
      </c>
      <c r="D75" s="29">
        <f t="shared" ref="D75" si="64">-I73*O$4*(A75-A73)/360</f>
        <v>-30000</v>
      </c>
      <c r="E75" s="38"/>
      <c r="F75" s="39"/>
      <c r="G75" s="47"/>
      <c r="H75" s="24">
        <f t="shared" si="37"/>
        <v>1747969.0086340327</v>
      </c>
      <c r="I75" s="41">
        <f t="shared" si="1"/>
        <v>1760000</v>
      </c>
      <c r="J75" s="29">
        <f t="shared" si="2"/>
        <v>0</v>
      </c>
      <c r="K75" s="42">
        <f t="shared" si="38"/>
        <v>-12030.991365967435</v>
      </c>
      <c r="L75" s="33">
        <f t="shared" si="39"/>
        <v>0</v>
      </c>
      <c r="M75" s="196">
        <f t="shared" si="31"/>
        <v>19359.543355713704</v>
      </c>
      <c r="N75" s="29">
        <f t="shared" si="32"/>
        <v>19000</v>
      </c>
      <c r="O75" s="30">
        <f t="shared" si="40"/>
        <v>359.54335571370393</v>
      </c>
      <c r="P75" s="43"/>
      <c r="Q75" s="44"/>
      <c r="R75" s="33"/>
      <c r="V75" s="45"/>
      <c r="W75" s="7"/>
      <c r="X75" s="7"/>
      <c r="Y75" s="46"/>
      <c r="Z75" s="7"/>
      <c r="AA75" s="7"/>
      <c r="AC75" s="7"/>
    </row>
    <row r="76" spans="1:29">
      <c r="A76" s="18">
        <v>44500</v>
      </c>
      <c r="B76" s="37">
        <f t="shared" si="6"/>
        <v>0</v>
      </c>
      <c r="C76" s="29"/>
      <c r="D76" s="29">
        <v>0</v>
      </c>
      <c r="E76" s="38"/>
      <c r="F76" s="39"/>
      <c r="G76" s="47"/>
      <c r="H76" s="24">
        <f t="shared" si="37"/>
        <v>1759828.3851062816</v>
      </c>
      <c r="I76" s="41">
        <f t="shared" si="1"/>
        <v>1760000</v>
      </c>
      <c r="J76" s="29">
        <f t="shared" si="2"/>
        <v>11733.333333333334</v>
      </c>
      <c r="K76" s="42">
        <f t="shared" si="38"/>
        <v>-11904.948227051682</v>
      </c>
      <c r="L76" s="33">
        <f t="shared" si="39"/>
        <v>0</v>
      </c>
      <c r="M76" s="196">
        <f t="shared" si="33"/>
        <v>11859.376472249087</v>
      </c>
      <c r="N76" s="29">
        <f t="shared" si="34"/>
        <v>11733.333333333334</v>
      </c>
      <c r="O76" s="30">
        <f t="shared" si="40"/>
        <v>126.04313891575293</v>
      </c>
      <c r="P76" s="43"/>
      <c r="Q76" s="44"/>
      <c r="R76" s="33"/>
      <c r="V76" s="45"/>
      <c r="W76" s="7"/>
      <c r="X76" s="7"/>
      <c r="Y76" s="46"/>
      <c r="Z76" s="7">
        <f t="shared" si="35"/>
        <v>31218.919827962789</v>
      </c>
      <c r="AA76" s="7"/>
      <c r="AC76" s="7"/>
    </row>
    <row r="77" spans="1:29">
      <c r="A77" s="18">
        <v>44520</v>
      </c>
      <c r="B77" s="37">
        <f t="shared" si="6"/>
        <v>-70311.111111111109</v>
      </c>
      <c r="C77" s="29">
        <v>-40000</v>
      </c>
      <c r="D77" s="29">
        <f t="shared" ref="D77" si="65">-I75*O$4*(A77-A75)/360</f>
        <v>-30311.111111111109</v>
      </c>
      <c r="E77" s="38"/>
      <c r="F77" s="39"/>
      <c r="G77" s="47"/>
      <c r="H77" s="24">
        <f t="shared" si="37"/>
        <v>1708459.3926583838</v>
      </c>
      <c r="I77" s="41">
        <f t="shared" si="1"/>
        <v>1720000</v>
      </c>
      <c r="J77" s="29">
        <f t="shared" si="2"/>
        <v>0</v>
      </c>
      <c r="K77" s="42">
        <f t="shared" si="38"/>
        <v>-11540.607341616073</v>
      </c>
      <c r="L77" s="33">
        <f t="shared" si="39"/>
        <v>0</v>
      </c>
      <c r="M77" s="196">
        <f t="shared" si="31"/>
        <v>18942.118663213387</v>
      </c>
      <c r="N77" s="29">
        <f t="shared" si="32"/>
        <v>18577.777777777777</v>
      </c>
      <c r="O77" s="30">
        <f t="shared" si="40"/>
        <v>364.34088543560938</v>
      </c>
      <c r="P77" s="43"/>
      <c r="Q77" s="44"/>
      <c r="R77" s="33"/>
      <c r="V77" s="45"/>
      <c r="W77" s="7"/>
      <c r="X77" s="7"/>
      <c r="Y77" s="46"/>
      <c r="Z77" s="7"/>
      <c r="AA77" s="7"/>
      <c r="AC77" s="7"/>
    </row>
    <row r="78" spans="1:29">
      <c r="A78" s="18">
        <v>44530</v>
      </c>
      <c r="B78" s="37">
        <f t="shared" si="6"/>
        <v>0</v>
      </c>
      <c r="C78" s="29"/>
      <c r="D78" s="29">
        <v>0</v>
      </c>
      <c r="E78" s="38"/>
      <c r="F78" s="39"/>
      <c r="G78" s="47"/>
      <c r="H78" s="24">
        <f t="shared" si="37"/>
        <v>1719081.7703025893</v>
      </c>
      <c r="I78" s="41">
        <f t="shared" si="1"/>
        <v>1720000</v>
      </c>
      <c r="J78" s="29">
        <f t="shared" si="2"/>
        <v>10511.111111111111</v>
      </c>
      <c r="K78" s="42">
        <f t="shared" si="38"/>
        <v>-11429.340808521827</v>
      </c>
      <c r="L78" s="33">
        <f t="shared" si="39"/>
        <v>0</v>
      </c>
      <c r="M78" s="196">
        <f t="shared" si="33"/>
        <v>10622.377644205357</v>
      </c>
      <c r="N78" s="29">
        <f t="shared" si="34"/>
        <v>10511.111111111111</v>
      </c>
      <c r="O78" s="30">
        <f t="shared" si="40"/>
        <v>111.26653309424546</v>
      </c>
      <c r="P78" s="43"/>
      <c r="Q78" s="44"/>
      <c r="R78" s="33"/>
      <c r="V78" s="45"/>
      <c r="W78" s="7"/>
      <c r="X78" s="7"/>
      <c r="Y78" s="46"/>
      <c r="Z78" s="7">
        <f t="shared" si="35"/>
        <v>29564.496307418744</v>
      </c>
      <c r="AA78" s="7"/>
      <c r="AC78" s="7"/>
    </row>
    <row r="79" spans="1:29">
      <c r="A79" s="18">
        <v>44550</v>
      </c>
      <c r="B79" s="37">
        <f t="shared" si="6"/>
        <v>-68666.666666666672</v>
      </c>
      <c r="C79" s="29">
        <v>-40000</v>
      </c>
      <c r="D79" s="29">
        <f t="shared" ref="D79" si="66">-I77*O$4*(A79-A77)/360</f>
        <v>-28666.666666666668</v>
      </c>
      <c r="E79" s="38"/>
      <c r="F79" s="39"/>
      <c r="G79" s="47"/>
      <c r="H79" s="24">
        <f t="shared" si="37"/>
        <v>1668918.641344727</v>
      </c>
      <c r="I79" s="41">
        <f t="shared" ref="I79:I142" si="67">I78+C79</f>
        <v>1680000</v>
      </c>
      <c r="J79" s="29">
        <f t="shared" si="2"/>
        <v>0</v>
      </c>
      <c r="K79" s="42">
        <f t="shared" si="38"/>
        <v>-11081.358655272898</v>
      </c>
      <c r="L79" s="33">
        <f t="shared" si="39"/>
        <v>0</v>
      </c>
      <c r="M79" s="196">
        <f t="shared" si="31"/>
        <v>18503.537708804484</v>
      </c>
      <c r="N79" s="29">
        <f t="shared" si="32"/>
        <v>18155.555555555555</v>
      </c>
      <c r="O79" s="30">
        <f t="shared" si="40"/>
        <v>347.98215324892954</v>
      </c>
      <c r="P79" s="43"/>
      <c r="Q79" s="44"/>
      <c r="R79" s="33"/>
      <c r="V79" s="45"/>
      <c r="W79" s="7"/>
      <c r="X79" s="7"/>
      <c r="Y79" s="46"/>
      <c r="Z79" s="7"/>
      <c r="AA79" s="7"/>
      <c r="AC79" s="7"/>
    </row>
    <row r="80" spans="1:29">
      <c r="A80" s="18">
        <v>44561</v>
      </c>
      <c r="B80" s="37">
        <f t="shared" si="6"/>
        <v>0</v>
      </c>
      <c r="C80" s="29"/>
      <c r="D80" s="29">
        <v>0</v>
      </c>
      <c r="E80" s="38"/>
      <c r="F80" s="39"/>
      <c r="G80" s="47"/>
      <c r="H80" s="24">
        <f t="shared" si="37"/>
        <v>1680241.68790419</v>
      </c>
      <c r="I80" s="41">
        <f t="shared" si="67"/>
        <v>1680000</v>
      </c>
      <c r="J80" s="29">
        <f t="shared" ref="J80:J143" si="68">J79+N80+D80</f>
        <v>11200</v>
      </c>
      <c r="K80" s="42">
        <f t="shared" si="38"/>
        <v>-10958.312095809877</v>
      </c>
      <c r="L80" s="33">
        <f t="shared" si="39"/>
        <v>0</v>
      </c>
      <c r="M80" s="196">
        <f t="shared" si="33"/>
        <v>11323.04655946302</v>
      </c>
      <c r="N80" s="29">
        <f t="shared" si="34"/>
        <v>11200</v>
      </c>
      <c r="O80" s="30">
        <f t="shared" si="40"/>
        <v>123.04655946302046</v>
      </c>
      <c r="P80" s="43"/>
      <c r="Q80" s="44"/>
      <c r="R80" s="33"/>
      <c r="V80" s="45"/>
      <c r="W80" s="7"/>
      <c r="X80" s="7"/>
      <c r="Y80" s="46"/>
      <c r="Z80" s="7">
        <f t="shared" si="35"/>
        <v>29826.584268267507</v>
      </c>
      <c r="AA80" s="7"/>
      <c r="AC80" s="7"/>
    </row>
    <row r="81" spans="1:29">
      <c r="A81" s="18">
        <v>44581</v>
      </c>
      <c r="B81" s="37">
        <f t="shared" si="6"/>
        <v>-68933.333333333328</v>
      </c>
      <c r="C81" s="29">
        <v>-40000</v>
      </c>
      <c r="D81" s="29">
        <f t="shared" ref="D81" si="69">-I79*O$4*(A81-A79)/360</f>
        <v>-28933.333333333332</v>
      </c>
      <c r="E81" s="38"/>
      <c r="F81" s="39"/>
      <c r="G81" s="47"/>
      <c r="H81" s="24">
        <f t="shared" si="37"/>
        <v>1629393.8325097964</v>
      </c>
      <c r="I81" s="41">
        <f t="shared" si="67"/>
        <v>1640000</v>
      </c>
      <c r="J81" s="29">
        <f t="shared" si="68"/>
        <v>0</v>
      </c>
      <c r="K81" s="42">
        <f t="shared" si="38"/>
        <v>-10606.167490203745</v>
      </c>
      <c r="L81" s="33">
        <f t="shared" si="39"/>
        <v>0</v>
      </c>
      <c r="M81" s="196">
        <f t="shared" si="31"/>
        <v>18085.477938939464</v>
      </c>
      <c r="N81" s="29">
        <f t="shared" si="32"/>
        <v>17733.333333333332</v>
      </c>
      <c r="O81" s="30">
        <f t="shared" si="40"/>
        <v>352.14460560613225</v>
      </c>
      <c r="P81" s="43"/>
      <c r="Q81" s="44"/>
      <c r="R81" s="33"/>
      <c r="V81" s="45"/>
      <c r="W81" s="7"/>
      <c r="X81" s="7"/>
      <c r="Y81" s="46"/>
      <c r="Z81" s="7"/>
      <c r="AA81" s="7"/>
      <c r="AC81" s="7"/>
    </row>
    <row r="82" spans="1:29">
      <c r="A82" s="18">
        <v>44592</v>
      </c>
      <c r="B82" s="37">
        <f t="shared" si="6"/>
        <v>0</v>
      </c>
      <c r="C82" s="29"/>
      <c r="D82" s="29">
        <v>0</v>
      </c>
      <c r="E82" s="38"/>
      <c r="F82" s="39"/>
      <c r="G82" s="47"/>
      <c r="H82" s="24">
        <f t="shared" si="37"/>
        <v>1640448.7166558229</v>
      </c>
      <c r="I82" s="41">
        <f t="shared" si="67"/>
        <v>1640000</v>
      </c>
      <c r="J82" s="29">
        <f t="shared" si="68"/>
        <v>10933.333333333334</v>
      </c>
      <c r="K82" s="42">
        <f t="shared" si="38"/>
        <v>-10484.616677510337</v>
      </c>
      <c r="L82" s="33">
        <f t="shared" si="39"/>
        <v>0</v>
      </c>
      <c r="M82" s="196">
        <f t="shared" si="33"/>
        <v>11054.884146026741</v>
      </c>
      <c r="N82" s="29">
        <f t="shared" si="34"/>
        <v>10933.333333333334</v>
      </c>
      <c r="O82" s="30">
        <f t="shared" si="40"/>
        <v>121.55081269340735</v>
      </c>
      <c r="P82" s="43"/>
      <c r="Q82" s="44"/>
      <c r="R82" s="33"/>
      <c r="V82" s="45"/>
      <c r="W82" s="7"/>
      <c r="X82" s="7"/>
      <c r="Y82" s="46"/>
      <c r="Z82" s="7">
        <f t="shared" si="35"/>
        <v>29140.362084966204</v>
      </c>
      <c r="AA82" s="7"/>
      <c r="AC82" s="7"/>
    </row>
    <row r="83" spans="1:29">
      <c r="A83" s="18">
        <v>44612</v>
      </c>
      <c r="B83" s="37">
        <f t="shared" si="6"/>
        <v>-68244.444444444438</v>
      </c>
      <c r="C83" s="29">
        <v>-40000</v>
      </c>
      <c r="D83" s="29">
        <f t="shared" ref="D83" si="70">-I81*O$4*(A83-A81)/360</f>
        <v>-28244.444444444445</v>
      </c>
      <c r="E83" s="38"/>
      <c r="F83" s="39"/>
      <c r="G83" s="47"/>
      <c r="H83" s="24">
        <f t="shared" si="37"/>
        <v>1589861.4338498607</v>
      </c>
      <c r="I83" s="41">
        <f t="shared" si="67"/>
        <v>1600000</v>
      </c>
      <c r="J83" s="29">
        <f t="shared" si="68"/>
        <v>0</v>
      </c>
      <c r="K83" s="42">
        <f t="shared" si="38"/>
        <v>-10138.56615013925</v>
      </c>
      <c r="L83" s="33">
        <f t="shared" si="39"/>
        <v>0</v>
      </c>
      <c r="M83" s="196">
        <f t="shared" si="31"/>
        <v>17657.161638482197</v>
      </c>
      <c r="N83" s="29">
        <f t="shared" si="32"/>
        <v>17311.111111111109</v>
      </c>
      <c r="O83" s="30">
        <f t="shared" si="40"/>
        <v>346.05052737108781</v>
      </c>
      <c r="P83" s="43"/>
      <c r="Q83" s="44"/>
      <c r="R83" s="33"/>
      <c r="V83" s="45"/>
      <c r="W83" s="7"/>
      <c r="X83" s="7"/>
      <c r="Y83" s="46"/>
      <c r="Z83" s="7"/>
      <c r="AA83" s="7"/>
      <c r="AC83" s="7"/>
    </row>
    <row r="84" spans="1:29">
      <c r="A84" s="18">
        <v>44620</v>
      </c>
      <c r="B84" s="37">
        <f t="shared" si="6"/>
        <v>0</v>
      </c>
      <c r="C84" s="29"/>
      <c r="D84" s="29">
        <v>0</v>
      </c>
      <c r="E84" s="38"/>
      <c r="F84" s="39"/>
      <c r="G84" s="47"/>
      <c r="H84" s="24">
        <f t="shared" si="37"/>
        <v>1597944.5948601295</v>
      </c>
      <c r="I84" s="41">
        <f t="shared" si="67"/>
        <v>1600000</v>
      </c>
      <c r="J84" s="29">
        <f t="shared" si="68"/>
        <v>8000</v>
      </c>
      <c r="K84" s="42">
        <f t="shared" si="38"/>
        <v>-10055.405139870454</v>
      </c>
      <c r="L84" s="33">
        <f t="shared" si="39"/>
        <v>0</v>
      </c>
      <c r="M84" s="196">
        <f t="shared" si="33"/>
        <v>8083.1610102687955</v>
      </c>
      <c r="N84" s="29">
        <f t="shared" si="34"/>
        <v>8000</v>
      </c>
      <c r="O84" s="30">
        <f t="shared" si="40"/>
        <v>83.161010268795508</v>
      </c>
      <c r="P84" s="43"/>
      <c r="Q84" s="44"/>
      <c r="R84" s="33"/>
      <c r="V84" s="45"/>
      <c r="W84" s="7"/>
      <c r="X84" s="7"/>
      <c r="Y84" s="46"/>
      <c r="Z84" s="7">
        <f t="shared" si="35"/>
        <v>25740.322648750993</v>
      </c>
      <c r="AA84" s="7"/>
      <c r="AC84" s="7"/>
    </row>
    <row r="85" spans="1:29">
      <c r="A85" s="18">
        <v>44640</v>
      </c>
      <c r="B85" s="37">
        <f t="shared" si="6"/>
        <v>-64888.888888888891</v>
      </c>
      <c r="C85" s="29">
        <v>-40000</v>
      </c>
      <c r="D85" s="29">
        <f t="shared" ref="D85" si="71">-I83*O$4*(A85-A83)/360</f>
        <v>-24888.888888888891</v>
      </c>
      <c r="E85" s="38"/>
      <c r="F85" s="39"/>
      <c r="G85" s="47"/>
      <c r="H85" s="24">
        <f t="shared" si="37"/>
        <v>1550255.369523237</v>
      </c>
      <c r="I85" s="41">
        <f t="shared" si="67"/>
        <v>1560000</v>
      </c>
      <c r="J85" s="29">
        <f t="shared" si="68"/>
        <v>0</v>
      </c>
      <c r="K85" s="42">
        <f t="shared" si="38"/>
        <v>-9744.63047676305</v>
      </c>
      <c r="L85" s="33">
        <f t="shared" si="39"/>
        <v>0</v>
      </c>
      <c r="M85" s="196">
        <f t="shared" si="31"/>
        <v>17199.663551996295</v>
      </c>
      <c r="N85" s="29">
        <f t="shared" si="32"/>
        <v>16888.888888888891</v>
      </c>
      <c r="O85" s="30">
        <f t="shared" si="40"/>
        <v>310.77466310740419</v>
      </c>
      <c r="P85" s="43"/>
      <c r="Q85" s="44"/>
      <c r="R85" s="33"/>
      <c r="V85" s="45"/>
      <c r="W85" s="7"/>
      <c r="X85" s="7"/>
      <c r="Y85" s="46"/>
      <c r="Z85" s="7"/>
      <c r="AA85" s="7"/>
      <c r="AC85" s="7"/>
    </row>
    <row r="86" spans="1:29">
      <c r="A86" s="18">
        <v>44651</v>
      </c>
      <c r="B86" s="37">
        <f t="shared" si="6"/>
        <v>0</v>
      </c>
      <c r="C86" s="29"/>
      <c r="D86" s="29">
        <v>0</v>
      </c>
      <c r="E86" s="38"/>
      <c r="F86" s="39"/>
      <c r="G86" s="47"/>
      <c r="H86" s="24">
        <f t="shared" si="37"/>
        <v>1560773.3260570709</v>
      </c>
      <c r="I86" s="41">
        <f t="shared" si="67"/>
        <v>1560000</v>
      </c>
      <c r="J86" s="29">
        <f t="shared" si="68"/>
        <v>10400</v>
      </c>
      <c r="K86" s="42">
        <f t="shared" si="38"/>
        <v>-9626.6739429290337</v>
      </c>
      <c r="L86" s="33">
        <f t="shared" si="39"/>
        <v>0</v>
      </c>
      <c r="M86" s="196">
        <f t="shared" si="33"/>
        <v>10517.956533834016</v>
      </c>
      <c r="N86" s="29">
        <f t="shared" si="34"/>
        <v>10400</v>
      </c>
      <c r="O86" s="30">
        <f t="shared" si="40"/>
        <v>117.95653383401623</v>
      </c>
      <c r="P86" s="43"/>
      <c r="Q86" s="44"/>
      <c r="R86" s="33"/>
      <c r="V86" s="45"/>
      <c r="W86" s="7"/>
      <c r="X86" s="7"/>
      <c r="Y86" s="46"/>
      <c r="Z86" s="7">
        <f t="shared" si="35"/>
        <v>27717.620085830313</v>
      </c>
      <c r="AA86" s="7"/>
      <c r="AC86" s="7"/>
    </row>
    <row r="87" spans="1:29">
      <c r="A87" s="18">
        <v>44671</v>
      </c>
      <c r="B87" s="37">
        <f t="shared" si="6"/>
        <v>-66866.666666666672</v>
      </c>
      <c r="C87" s="29">
        <v>-40000</v>
      </c>
      <c r="D87" s="29">
        <f t="shared" ref="D87" si="72">-I85*O$4*(A87-A85)/360</f>
        <v>-26866.666666666668</v>
      </c>
      <c r="E87" s="38"/>
      <c r="F87" s="39"/>
      <c r="G87" s="47"/>
      <c r="H87" s="24">
        <f t="shared" si="37"/>
        <v>1510706.2256428634</v>
      </c>
      <c r="I87" s="41">
        <f t="shared" si="67"/>
        <v>1520000</v>
      </c>
      <c r="J87" s="29">
        <f t="shared" si="68"/>
        <v>0</v>
      </c>
      <c r="K87" s="42">
        <f t="shared" si="38"/>
        <v>-9293.7743571364936</v>
      </c>
      <c r="L87" s="33">
        <f t="shared" si="39"/>
        <v>0</v>
      </c>
      <c r="M87" s="196">
        <f t="shared" si="31"/>
        <v>16799.566252459208</v>
      </c>
      <c r="N87" s="29">
        <f t="shared" si="32"/>
        <v>16466.666666666668</v>
      </c>
      <c r="O87" s="30">
        <f t="shared" si="40"/>
        <v>332.89958579254017</v>
      </c>
      <c r="P87" s="43"/>
      <c r="Q87" s="44"/>
      <c r="R87" s="33"/>
      <c r="V87" s="45"/>
      <c r="W87" s="7"/>
      <c r="X87" s="7"/>
      <c r="Y87" s="46"/>
      <c r="Z87" s="7"/>
      <c r="AA87" s="7"/>
      <c r="AC87" s="7"/>
    </row>
    <row r="88" spans="1:29">
      <c r="A88" s="18">
        <v>44681</v>
      </c>
      <c r="B88" s="37">
        <f t="shared" si="6"/>
        <v>0</v>
      </c>
      <c r="C88" s="29"/>
      <c r="D88" s="29">
        <v>0</v>
      </c>
      <c r="E88" s="38"/>
      <c r="F88" s="39"/>
      <c r="G88" s="47"/>
      <c r="H88" s="24">
        <f t="shared" si="37"/>
        <v>1520099.0693400502</v>
      </c>
      <c r="I88" s="41">
        <f t="shared" si="67"/>
        <v>1520000</v>
      </c>
      <c r="J88" s="29">
        <f t="shared" si="68"/>
        <v>9288.8888888888887</v>
      </c>
      <c r="K88" s="42">
        <f t="shared" si="38"/>
        <v>-9189.8195488387482</v>
      </c>
      <c r="L88" s="33">
        <f t="shared" si="39"/>
        <v>0</v>
      </c>
      <c r="M88" s="196">
        <f t="shared" si="33"/>
        <v>9392.843697186634</v>
      </c>
      <c r="N88" s="29">
        <f t="shared" si="34"/>
        <v>9288.8888888888887</v>
      </c>
      <c r="O88" s="30">
        <f t="shared" si="40"/>
        <v>103.95480829774533</v>
      </c>
      <c r="P88" s="43"/>
      <c r="Q88" s="44"/>
      <c r="R88" s="33"/>
      <c r="V88" s="45"/>
      <c r="W88" s="7"/>
      <c r="X88" s="7"/>
      <c r="Y88" s="46"/>
      <c r="Z88" s="7">
        <f t="shared" si="35"/>
        <v>26192.409949645844</v>
      </c>
      <c r="AA88" s="7"/>
      <c r="AC88" s="7"/>
    </row>
    <row r="89" spans="1:29">
      <c r="A89" s="18">
        <v>44701</v>
      </c>
      <c r="B89" s="37">
        <f t="shared" si="6"/>
        <v>-65333.333333333328</v>
      </c>
      <c r="C89" s="29">
        <v>-40000</v>
      </c>
      <c r="D89" s="29">
        <f t="shared" ref="D89" si="73">-I87*O$4*(A89-A87)/360</f>
        <v>-25333.333333333332</v>
      </c>
      <c r="E89" s="38"/>
      <c r="F89" s="39"/>
      <c r="G89" s="47"/>
      <c r="H89" s="24">
        <f t="shared" si="37"/>
        <v>1471127.5001394965</v>
      </c>
      <c r="I89" s="41">
        <f t="shared" si="67"/>
        <v>1480000</v>
      </c>
      <c r="J89" s="29">
        <f t="shared" si="68"/>
        <v>0</v>
      </c>
      <c r="K89" s="42">
        <f t="shared" si="38"/>
        <v>-8872.499860503558</v>
      </c>
      <c r="L89" s="33">
        <f t="shared" si="39"/>
        <v>0</v>
      </c>
      <c r="M89" s="196">
        <f t="shared" ref="M89:M151" si="74">H88*((100%+$O$8)^(A89-A88-1)-100%)</f>
        <v>16361.764132779635</v>
      </c>
      <c r="N89" s="29">
        <f t="shared" ref="N89:N152" si="75">I88*O$4*(A89-A88-1)/360</f>
        <v>16044.444444444445</v>
      </c>
      <c r="O89" s="30">
        <f t="shared" si="40"/>
        <v>317.31968833519022</v>
      </c>
      <c r="P89" s="43"/>
      <c r="Q89" s="44"/>
      <c r="R89" s="33"/>
      <c r="V89" s="45"/>
      <c r="W89" s="7"/>
      <c r="X89" s="7"/>
      <c r="Y89" s="46"/>
      <c r="Z89" s="7"/>
      <c r="AA89" s="7"/>
      <c r="AC89" s="7"/>
    </row>
    <row r="90" spans="1:29">
      <c r="A90" s="18">
        <v>44712</v>
      </c>
      <c r="B90" s="37">
        <f t="shared" si="6"/>
        <v>0</v>
      </c>
      <c r="C90" s="29"/>
      <c r="D90" s="29">
        <v>0</v>
      </c>
      <c r="E90" s="38"/>
      <c r="F90" s="39"/>
      <c r="G90" s="47"/>
      <c r="H90" s="24">
        <f t="shared" si="37"/>
        <v>1481108.6009351376</v>
      </c>
      <c r="I90" s="41">
        <f t="shared" si="67"/>
        <v>1480000</v>
      </c>
      <c r="J90" s="29">
        <f t="shared" si="68"/>
        <v>9866.6666666666661</v>
      </c>
      <c r="K90" s="42">
        <f t="shared" si="38"/>
        <v>-8758.0657315292192</v>
      </c>
      <c r="L90" s="33">
        <f t="shared" si="39"/>
        <v>0</v>
      </c>
      <c r="M90" s="196">
        <f t="shared" ref="M90:M152" si="76">H89*((100%+$O$8)^(A90-A89+1)-100%)</f>
        <v>9981.1007956410049</v>
      </c>
      <c r="N90" s="29">
        <f t="shared" ref="N90:N153" si="77">I89*O$4*(A90-A89+1)/360</f>
        <v>9866.6666666666661</v>
      </c>
      <c r="O90" s="30">
        <f t="shared" si="40"/>
        <v>114.43412897433882</v>
      </c>
      <c r="P90" s="43"/>
      <c r="Q90" s="44"/>
      <c r="R90" s="33"/>
      <c r="V90" s="45"/>
      <c r="W90" s="7"/>
      <c r="X90" s="7"/>
      <c r="Y90" s="46"/>
      <c r="Z90" s="7">
        <f t="shared" ref="Z90:Z152" si="78">M90+M89</f>
        <v>26342.86492842064</v>
      </c>
      <c r="AA90" s="7"/>
      <c r="AC90" s="7"/>
    </row>
    <row r="91" spans="1:29">
      <c r="A91" s="18">
        <v>44732</v>
      </c>
      <c r="B91" s="37">
        <f t="shared" si="6"/>
        <v>-65488.888888888891</v>
      </c>
      <c r="C91" s="29">
        <v>-40000</v>
      </c>
      <c r="D91" s="29">
        <f t="shared" ref="D91" si="79">-I89*O$4*(A91-A89)/360</f>
        <v>-25488.888888888891</v>
      </c>
      <c r="E91" s="38"/>
      <c r="F91" s="39"/>
      <c r="G91" s="47"/>
      <c r="H91" s="24">
        <f t="shared" si="37"/>
        <v>1431561.7977117919</v>
      </c>
      <c r="I91" s="41">
        <f t="shared" si="67"/>
        <v>1440000</v>
      </c>
      <c r="J91" s="29">
        <f t="shared" si="68"/>
        <v>0</v>
      </c>
      <c r="K91" s="42">
        <f t="shared" si="38"/>
        <v>-8438.2022882079873</v>
      </c>
      <c r="L91" s="33">
        <f t="shared" si="39"/>
        <v>0</v>
      </c>
      <c r="M91" s="196">
        <f t="shared" si="74"/>
        <v>15942.085665543455</v>
      </c>
      <c r="N91" s="29">
        <f t="shared" si="75"/>
        <v>15622.222222222223</v>
      </c>
      <c r="O91" s="30">
        <f t="shared" si="40"/>
        <v>319.8634433212319</v>
      </c>
      <c r="P91" s="43"/>
      <c r="Q91" s="44"/>
      <c r="R91" s="33"/>
      <c r="V91" s="45"/>
      <c r="W91" s="7"/>
      <c r="X91" s="7"/>
      <c r="Y91" s="46"/>
      <c r="Z91" s="7"/>
      <c r="AA91" s="7"/>
      <c r="AC91" s="7"/>
    </row>
    <row r="92" spans="1:29">
      <c r="A92" s="18">
        <v>44742</v>
      </c>
      <c r="B92" s="37">
        <f t="shared" si="6"/>
        <v>0</v>
      </c>
      <c r="C92" s="29"/>
      <c r="D92" s="29">
        <v>0</v>
      </c>
      <c r="E92" s="38"/>
      <c r="F92" s="39"/>
      <c r="G92" s="47"/>
      <c r="H92" s="24">
        <f t="shared" ref="H92:H155" si="80">I92+J92+K92</f>
        <v>1440462.5594750848</v>
      </c>
      <c r="I92" s="41">
        <f t="shared" si="67"/>
        <v>1440000</v>
      </c>
      <c r="J92" s="29">
        <f t="shared" si="68"/>
        <v>8800</v>
      </c>
      <c r="K92" s="42">
        <f t="shared" ref="K92:K155" si="81">K91+O92</f>
        <v>-8337.4405249151951</v>
      </c>
      <c r="L92" s="33">
        <f t="shared" ref="L92:L155" si="82">P92</f>
        <v>0</v>
      </c>
      <c r="M92" s="196">
        <f t="shared" si="76"/>
        <v>8900.7617632927922</v>
      </c>
      <c r="N92" s="29">
        <f t="shared" si="77"/>
        <v>8800</v>
      </c>
      <c r="O92" s="30">
        <f t="shared" ref="O92:O155" si="83">M92-N92</f>
        <v>100.76176329279224</v>
      </c>
      <c r="P92" s="43"/>
      <c r="Q92" s="44"/>
      <c r="R92" s="33"/>
      <c r="V92" s="45"/>
      <c r="W92" s="7"/>
      <c r="X92" s="7"/>
      <c r="Y92" s="46"/>
      <c r="Z92" s="7">
        <f t="shared" si="78"/>
        <v>24842.847428836249</v>
      </c>
      <c r="AA92" s="7"/>
      <c r="AC92" s="7"/>
    </row>
    <row r="93" spans="1:29">
      <c r="A93" s="18">
        <v>44762</v>
      </c>
      <c r="B93" s="37">
        <f t="shared" si="6"/>
        <v>-64000</v>
      </c>
      <c r="C93" s="29">
        <v>-40000</v>
      </c>
      <c r="D93" s="29">
        <f t="shared" ref="D93" si="84">-I91*O$4*(A93-A91)/360</f>
        <v>-24000</v>
      </c>
      <c r="E93" s="38"/>
      <c r="F93" s="39"/>
      <c r="G93" s="47"/>
      <c r="H93" s="24">
        <f t="shared" si="80"/>
        <v>1391967.1467191672</v>
      </c>
      <c r="I93" s="41">
        <f t="shared" si="67"/>
        <v>1400000</v>
      </c>
      <c r="J93" s="29">
        <f t="shared" si="68"/>
        <v>0</v>
      </c>
      <c r="K93" s="42">
        <f t="shared" si="81"/>
        <v>-8032.8532808327145</v>
      </c>
      <c r="L93" s="33">
        <f t="shared" si="82"/>
        <v>0</v>
      </c>
      <c r="M93" s="196">
        <f t="shared" si="74"/>
        <v>15504.587244082481</v>
      </c>
      <c r="N93" s="29">
        <f t="shared" si="75"/>
        <v>15200</v>
      </c>
      <c r="O93" s="30">
        <f t="shared" si="83"/>
        <v>304.58724408248054</v>
      </c>
      <c r="P93" s="43"/>
      <c r="Q93" s="44"/>
      <c r="R93" s="33"/>
      <c r="V93" s="45"/>
      <c r="W93" s="7"/>
      <c r="X93" s="7"/>
      <c r="Y93" s="46"/>
      <c r="Z93" s="7"/>
      <c r="AA93" s="7"/>
      <c r="AC93" s="7"/>
    </row>
    <row r="94" spans="1:29">
      <c r="A94" s="18">
        <v>44773</v>
      </c>
      <c r="B94" s="37">
        <f t="shared" si="6"/>
        <v>0</v>
      </c>
      <c r="C94" s="29"/>
      <c r="D94" s="29">
        <v>0</v>
      </c>
      <c r="E94" s="38"/>
      <c r="F94" s="39"/>
      <c r="G94" s="47"/>
      <c r="H94" s="24">
        <f t="shared" si="80"/>
        <v>1401411.1713834519</v>
      </c>
      <c r="I94" s="41">
        <f t="shared" si="67"/>
        <v>1400000</v>
      </c>
      <c r="J94" s="29">
        <f t="shared" si="68"/>
        <v>9333.3333333333339</v>
      </c>
      <c r="K94" s="42">
        <f t="shared" si="81"/>
        <v>-7922.1619498814034</v>
      </c>
      <c r="L94" s="33">
        <f t="shared" si="82"/>
        <v>0</v>
      </c>
      <c r="M94" s="196">
        <f t="shared" si="76"/>
        <v>9444.024664284645</v>
      </c>
      <c r="N94" s="29">
        <f t="shared" si="77"/>
        <v>9333.3333333333339</v>
      </c>
      <c r="O94" s="30">
        <f t="shared" si="83"/>
        <v>110.6913309513111</v>
      </c>
      <c r="P94" s="43"/>
      <c r="Q94" s="44"/>
      <c r="R94" s="33"/>
      <c r="V94" s="45"/>
      <c r="W94" s="7"/>
      <c r="X94" s="7"/>
      <c r="Y94" s="46"/>
      <c r="Z94" s="7">
        <f t="shared" si="78"/>
        <v>24948.611908367126</v>
      </c>
      <c r="AA94" s="7"/>
      <c r="AC94" s="7"/>
    </row>
    <row r="95" spans="1:29">
      <c r="A95" s="18">
        <v>44793</v>
      </c>
      <c r="B95" s="37">
        <f t="shared" si="6"/>
        <v>-64111.111111111109</v>
      </c>
      <c r="C95" s="29">
        <v>-40000</v>
      </c>
      <c r="D95" s="29">
        <f t="shared" ref="D95" si="85">-I93*O$4*(A95-A93)/360</f>
        <v>-24111.111111111109</v>
      </c>
      <c r="E95" s="38"/>
      <c r="F95" s="39"/>
      <c r="G95" s="47"/>
      <c r="H95" s="24">
        <f t="shared" si="80"/>
        <v>1352384.3133330136</v>
      </c>
      <c r="I95" s="41">
        <f t="shared" si="67"/>
        <v>1360000</v>
      </c>
      <c r="J95" s="29">
        <f t="shared" si="68"/>
        <v>0</v>
      </c>
      <c r="K95" s="42">
        <f t="shared" si="81"/>
        <v>-7615.6866669864266</v>
      </c>
      <c r="L95" s="33">
        <f t="shared" si="82"/>
        <v>0</v>
      </c>
      <c r="M95" s="196">
        <f t="shared" si="74"/>
        <v>15084.253060672754</v>
      </c>
      <c r="N95" s="29">
        <f t="shared" si="75"/>
        <v>14777.777777777777</v>
      </c>
      <c r="O95" s="30">
        <f t="shared" si="83"/>
        <v>306.47528289497677</v>
      </c>
      <c r="P95" s="43"/>
      <c r="Q95" s="44"/>
      <c r="R95" s="33"/>
      <c r="V95" s="45"/>
      <c r="W95" s="7"/>
      <c r="X95" s="7"/>
      <c r="Y95" s="46"/>
      <c r="Z95" s="7"/>
      <c r="AA95" s="7"/>
      <c r="AC95" s="7"/>
    </row>
    <row r="96" spans="1:29">
      <c r="A96" s="18">
        <v>44804</v>
      </c>
      <c r="B96" s="37">
        <f t="shared" si="6"/>
        <v>0</v>
      </c>
      <c r="C96" s="29"/>
      <c r="D96" s="29">
        <v>0</v>
      </c>
      <c r="E96" s="38"/>
      <c r="F96" s="39"/>
      <c r="G96" s="47"/>
      <c r="H96" s="24">
        <f t="shared" si="80"/>
        <v>1361559.7819069752</v>
      </c>
      <c r="I96" s="41">
        <f t="shared" si="67"/>
        <v>1360000</v>
      </c>
      <c r="J96" s="29">
        <f t="shared" si="68"/>
        <v>9066.6666666666661</v>
      </c>
      <c r="K96" s="42">
        <f t="shared" si="81"/>
        <v>-7506.8847596915493</v>
      </c>
      <c r="L96" s="33">
        <f t="shared" si="82"/>
        <v>0</v>
      </c>
      <c r="M96" s="196">
        <f t="shared" si="76"/>
        <v>9175.4685739615434</v>
      </c>
      <c r="N96" s="29">
        <f t="shared" si="77"/>
        <v>9066.6666666666661</v>
      </c>
      <c r="O96" s="30">
        <f t="shared" si="83"/>
        <v>108.80190729487731</v>
      </c>
      <c r="P96" s="43"/>
      <c r="Q96" s="44"/>
      <c r="R96" s="33"/>
      <c r="V96" s="45"/>
      <c r="W96" s="7"/>
      <c r="X96" s="7"/>
      <c r="Y96" s="46"/>
      <c r="Z96" s="7">
        <f t="shared" si="78"/>
        <v>24259.721634634298</v>
      </c>
      <c r="AA96" s="7"/>
      <c r="AC96" s="7"/>
    </row>
    <row r="97" spans="1:29">
      <c r="A97" s="18">
        <v>44824</v>
      </c>
      <c r="B97" s="37">
        <f t="shared" si="6"/>
        <v>-63422.222222222219</v>
      </c>
      <c r="C97" s="29">
        <v>-40000</v>
      </c>
      <c r="D97" s="29">
        <f t="shared" ref="D97" si="86">-I95*O$4*(A97-A95)/360</f>
        <v>-23422.222222222223</v>
      </c>
      <c r="E97" s="38"/>
      <c r="F97" s="39"/>
      <c r="G97" s="47"/>
      <c r="H97" s="24">
        <f t="shared" si="80"/>
        <v>1312792.8676535371</v>
      </c>
      <c r="I97" s="41">
        <f t="shared" si="67"/>
        <v>1320000</v>
      </c>
      <c r="J97" s="29">
        <f t="shared" si="68"/>
        <v>0</v>
      </c>
      <c r="K97" s="42">
        <f t="shared" si="81"/>
        <v>-7207.1323464628222</v>
      </c>
      <c r="L97" s="33">
        <f t="shared" si="82"/>
        <v>0</v>
      </c>
      <c r="M97" s="196">
        <f t="shared" si="74"/>
        <v>14655.307968784282</v>
      </c>
      <c r="N97" s="29">
        <f t="shared" si="75"/>
        <v>14355.555555555555</v>
      </c>
      <c r="O97" s="30">
        <f t="shared" si="83"/>
        <v>299.75241322872716</v>
      </c>
      <c r="P97" s="43"/>
      <c r="Q97" s="44"/>
      <c r="R97" s="33"/>
      <c r="V97" s="45"/>
      <c r="W97" s="7"/>
      <c r="X97" s="7"/>
      <c r="Y97" s="46"/>
      <c r="Z97" s="7"/>
      <c r="AA97" s="7"/>
      <c r="AC97" s="7"/>
    </row>
    <row r="98" spans="1:29">
      <c r="A98" s="18">
        <v>44834</v>
      </c>
      <c r="B98" s="37">
        <f t="shared" si="6"/>
        <v>0</v>
      </c>
      <c r="C98" s="29"/>
      <c r="D98" s="29">
        <v>0</v>
      </c>
      <c r="E98" s="38"/>
      <c r="F98" s="39"/>
      <c r="G98" s="47"/>
      <c r="H98" s="24">
        <f t="shared" si="80"/>
        <v>1320955.1814133842</v>
      </c>
      <c r="I98" s="41">
        <f t="shared" si="67"/>
        <v>1320000</v>
      </c>
      <c r="J98" s="29">
        <f t="shared" si="68"/>
        <v>8066.666666666667</v>
      </c>
      <c r="K98" s="42">
        <f t="shared" si="81"/>
        <v>-7111.4852532826062</v>
      </c>
      <c r="L98" s="33">
        <f t="shared" si="82"/>
        <v>0</v>
      </c>
      <c r="M98" s="196">
        <f t="shared" si="76"/>
        <v>8162.3137598468829</v>
      </c>
      <c r="N98" s="29">
        <f t="shared" si="77"/>
        <v>8066.666666666667</v>
      </c>
      <c r="O98" s="30">
        <f t="shared" si="83"/>
        <v>95.647093180215961</v>
      </c>
      <c r="P98" s="43"/>
      <c r="Q98" s="44"/>
      <c r="R98" s="33"/>
      <c r="V98" s="45"/>
      <c r="W98" s="7"/>
      <c r="X98" s="7"/>
      <c r="Y98" s="46"/>
      <c r="Z98" s="7">
        <f t="shared" si="78"/>
        <v>22817.621728631166</v>
      </c>
      <c r="AA98" s="7"/>
      <c r="AC98" s="7"/>
    </row>
    <row r="99" spans="1:29">
      <c r="A99" s="18">
        <v>44854</v>
      </c>
      <c r="B99" s="37">
        <f t="shared" si="6"/>
        <v>-62000</v>
      </c>
      <c r="C99" s="29">
        <v>-40000</v>
      </c>
      <c r="D99" s="29">
        <f t="shared" ref="D99" si="87">-I97*O$4*(A99-A97)/360</f>
        <v>-22000</v>
      </c>
      <c r="E99" s="38"/>
      <c r="F99" s="39"/>
      <c r="G99" s="47"/>
      <c r="H99" s="24">
        <f t="shared" si="80"/>
        <v>1273173.437015397</v>
      </c>
      <c r="I99" s="41">
        <f t="shared" si="67"/>
        <v>1280000</v>
      </c>
      <c r="J99" s="29">
        <f t="shared" si="68"/>
        <v>0</v>
      </c>
      <c r="K99" s="42">
        <f t="shared" si="81"/>
        <v>-6826.5629846029351</v>
      </c>
      <c r="L99" s="33">
        <f t="shared" si="82"/>
        <v>0</v>
      </c>
      <c r="M99" s="196">
        <f t="shared" si="74"/>
        <v>14218.255602013005</v>
      </c>
      <c r="N99" s="29">
        <f t="shared" si="75"/>
        <v>13933.333333333334</v>
      </c>
      <c r="O99" s="30">
        <f t="shared" si="83"/>
        <v>284.92226867967111</v>
      </c>
      <c r="P99" s="43"/>
      <c r="Q99" s="44"/>
      <c r="R99" s="33"/>
      <c r="V99" s="45"/>
      <c r="W99" s="7"/>
      <c r="X99" s="7"/>
      <c r="Y99" s="46"/>
      <c r="Z99" s="7"/>
      <c r="AA99" s="7"/>
      <c r="AC99" s="7"/>
    </row>
    <row r="100" spans="1:29">
      <c r="A100" s="18">
        <v>44865</v>
      </c>
      <c r="B100" s="37">
        <f t="shared" si="6"/>
        <v>0</v>
      </c>
      <c r="C100" s="29"/>
      <c r="D100" s="29">
        <v>0</v>
      </c>
      <c r="E100" s="38"/>
      <c r="F100" s="39"/>
      <c r="G100" s="47"/>
      <c r="H100" s="24">
        <f t="shared" si="80"/>
        <v>1281811.4866772913</v>
      </c>
      <c r="I100" s="41">
        <f t="shared" si="67"/>
        <v>1280000</v>
      </c>
      <c r="J100" s="29">
        <f t="shared" si="68"/>
        <v>8533.3333333333339</v>
      </c>
      <c r="K100" s="42">
        <f t="shared" si="81"/>
        <v>-6721.8466560419783</v>
      </c>
      <c r="L100" s="33">
        <f t="shared" si="82"/>
        <v>0</v>
      </c>
      <c r="M100" s="196">
        <f t="shared" si="76"/>
        <v>8638.0496618942907</v>
      </c>
      <c r="N100" s="29">
        <f t="shared" si="77"/>
        <v>8533.3333333333339</v>
      </c>
      <c r="O100" s="30">
        <f t="shared" si="83"/>
        <v>104.71632856095675</v>
      </c>
      <c r="P100" s="43"/>
      <c r="Q100" s="44"/>
      <c r="R100" s="33"/>
      <c r="V100" s="45"/>
      <c r="W100" s="7"/>
      <c r="X100" s="7"/>
      <c r="Y100" s="46"/>
      <c r="Z100" s="7">
        <f t="shared" si="78"/>
        <v>22856.305263907296</v>
      </c>
      <c r="AA100" s="7"/>
      <c r="AC100" s="7"/>
    </row>
    <row r="101" spans="1:29">
      <c r="A101" s="18">
        <v>44885</v>
      </c>
      <c r="B101" s="37">
        <f t="shared" si="6"/>
        <v>-62044.444444444445</v>
      </c>
      <c r="C101" s="29">
        <v>-40000</v>
      </c>
      <c r="D101" s="29">
        <f t="shared" ref="D101" si="88">-I99*O$4*(A101-A99)/360</f>
        <v>-22044.444444444445</v>
      </c>
      <c r="E101" s="38"/>
      <c r="F101" s="39"/>
      <c r="G101" s="47"/>
      <c r="H101" s="24">
        <f t="shared" si="80"/>
        <v>1233563.9700980857</v>
      </c>
      <c r="I101" s="41">
        <f t="shared" si="67"/>
        <v>1240000</v>
      </c>
      <c r="J101" s="29">
        <f t="shared" si="68"/>
        <v>0</v>
      </c>
      <c r="K101" s="42">
        <f t="shared" si="81"/>
        <v>-6436.0299019141967</v>
      </c>
      <c r="L101" s="33">
        <f t="shared" si="82"/>
        <v>0</v>
      </c>
      <c r="M101" s="196">
        <f t="shared" si="74"/>
        <v>13796.927865238893</v>
      </c>
      <c r="N101" s="29">
        <f t="shared" si="75"/>
        <v>13511.111111111111</v>
      </c>
      <c r="O101" s="30">
        <f t="shared" si="83"/>
        <v>285.81675412778168</v>
      </c>
      <c r="P101" s="43"/>
      <c r="Q101" s="44"/>
      <c r="R101" s="33"/>
      <c r="V101" s="45"/>
      <c r="W101" s="7"/>
      <c r="X101" s="7"/>
      <c r="Y101" s="46"/>
      <c r="Z101" s="7"/>
      <c r="AA101" s="7"/>
      <c r="AC101" s="7"/>
    </row>
    <row r="102" spans="1:29">
      <c r="A102" s="18">
        <v>44895</v>
      </c>
      <c r="B102" s="37">
        <f t="shared" si="6"/>
        <v>0</v>
      </c>
      <c r="C102" s="29"/>
      <c r="D102" s="29">
        <v>0</v>
      </c>
      <c r="E102" s="38"/>
      <c r="F102" s="39"/>
      <c r="G102" s="47"/>
      <c r="H102" s="24">
        <f t="shared" si="80"/>
        <v>1241233.6767325983</v>
      </c>
      <c r="I102" s="41">
        <f t="shared" si="67"/>
        <v>1240000</v>
      </c>
      <c r="J102" s="29">
        <f t="shared" si="68"/>
        <v>7577.7777777777774</v>
      </c>
      <c r="K102" s="42">
        <f t="shared" si="81"/>
        <v>-6344.1010451795273</v>
      </c>
      <c r="L102" s="33">
        <f t="shared" si="82"/>
        <v>0</v>
      </c>
      <c r="M102" s="196">
        <f t="shared" si="76"/>
        <v>7669.7066345124467</v>
      </c>
      <c r="N102" s="29">
        <f t="shared" si="77"/>
        <v>7577.7777777777774</v>
      </c>
      <c r="O102" s="30">
        <f t="shared" si="83"/>
        <v>91.928856734669353</v>
      </c>
      <c r="P102" s="43"/>
      <c r="Q102" s="44"/>
      <c r="R102" s="33"/>
      <c r="V102" s="45"/>
      <c r="W102" s="7"/>
      <c r="X102" s="7"/>
      <c r="Y102" s="46"/>
      <c r="Z102" s="7">
        <f t="shared" si="78"/>
        <v>21466.634499751341</v>
      </c>
      <c r="AA102" s="7"/>
      <c r="AC102" s="7"/>
    </row>
    <row r="103" spans="1:29">
      <c r="A103" s="18">
        <v>44915</v>
      </c>
      <c r="B103" s="37">
        <f t="shared" si="6"/>
        <v>-60666.666666666672</v>
      </c>
      <c r="C103" s="29">
        <v>-40000</v>
      </c>
      <c r="D103" s="29">
        <f t="shared" ref="D103" si="89">-I101*O$4*(A103-A101)/360</f>
        <v>-20666.666666666668</v>
      </c>
      <c r="E103" s="38"/>
      <c r="F103" s="39"/>
      <c r="G103" s="47"/>
      <c r="H103" s="24">
        <f t="shared" si="80"/>
        <v>1193927.1739276059</v>
      </c>
      <c r="I103" s="41">
        <f t="shared" si="67"/>
        <v>1200000</v>
      </c>
      <c r="J103" s="29">
        <f t="shared" si="68"/>
        <v>0</v>
      </c>
      <c r="K103" s="42">
        <f t="shared" si="81"/>
        <v>-6072.8260723941521</v>
      </c>
      <c r="L103" s="33">
        <f t="shared" si="82"/>
        <v>0</v>
      </c>
      <c r="M103" s="196">
        <f t="shared" si="74"/>
        <v>13360.163861674264</v>
      </c>
      <c r="N103" s="29">
        <f t="shared" si="75"/>
        <v>13088.888888888889</v>
      </c>
      <c r="O103" s="30">
        <f t="shared" si="83"/>
        <v>271.27497278537521</v>
      </c>
      <c r="P103" s="43"/>
      <c r="Q103" s="44"/>
      <c r="R103" s="33"/>
      <c r="V103" s="45"/>
      <c r="W103" s="7"/>
      <c r="X103" s="7"/>
      <c r="Y103" s="46"/>
      <c r="Z103" s="7"/>
      <c r="AA103" s="7"/>
      <c r="AC103" s="7"/>
    </row>
    <row r="104" spans="1:29">
      <c r="A104" s="18">
        <v>44926</v>
      </c>
      <c r="B104" s="37">
        <f t="shared" si="6"/>
        <v>0</v>
      </c>
      <c r="C104" s="29"/>
      <c r="D104" s="29">
        <v>0</v>
      </c>
      <c r="E104" s="38"/>
      <c r="F104" s="39"/>
      <c r="G104" s="47"/>
      <c r="H104" s="24">
        <f t="shared" si="80"/>
        <v>1202027.5645902073</v>
      </c>
      <c r="I104" s="41">
        <f t="shared" si="67"/>
        <v>1200000</v>
      </c>
      <c r="J104" s="29">
        <f t="shared" si="68"/>
        <v>8000</v>
      </c>
      <c r="K104" s="42">
        <f t="shared" si="81"/>
        <v>-5972.4354097926671</v>
      </c>
      <c r="L104" s="33">
        <f t="shared" si="82"/>
        <v>0</v>
      </c>
      <c r="M104" s="196">
        <f t="shared" si="76"/>
        <v>8100.390662601485</v>
      </c>
      <c r="N104" s="29">
        <f t="shared" si="77"/>
        <v>8000</v>
      </c>
      <c r="O104" s="30">
        <f t="shared" si="83"/>
        <v>100.39066260148502</v>
      </c>
      <c r="P104" s="43"/>
      <c r="Q104" s="44"/>
      <c r="R104" s="33"/>
      <c r="V104" s="45"/>
      <c r="W104" s="7"/>
      <c r="X104" s="7"/>
      <c r="Y104" s="46"/>
      <c r="Z104" s="7">
        <f t="shared" si="78"/>
        <v>21460.554524275751</v>
      </c>
      <c r="AA104" s="7"/>
      <c r="AC104" s="7"/>
    </row>
    <row r="105" spans="1:29">
      <c r="A105" s="18">
        <v>44946</v>
      </c>
      <c r="B105" s="37">
        <f t="shared" si="6"/>
        <v>-60666.666666666672</v>
      </c>
      <c r="C105" s="29">
        <v>-40000</v>
      </c>
      <c r="D105" s="29">
        <f t="shared" ref="D105" si="90">-I103*O$4*(A105-A103)/360</f>
        <v>-20666.666666666668</v>
      </c>
      <c r="E105" s="38"/>
      <c r="F105" s="39"/>
      <c r="G105" s="47"/>
      <c r="H105" s="24">
        <f t="shared" si="80"/>
        <v>1154299.0622113873</v>
      </c>
      <c r="I105" s="41">
        <f t="shared" si="67"/>
        <v>1160000</v>
      </c>
      <c r="J105" s="29">
        <f t="shared" si="68"/>
        <v>0</v>
      </c>
      <c r="K105" s="42">
        <f t="shared" si="81"/>
        <v>-5700.9377886125885</v>
      </c>
      <c r="L105" s="33">
        <f t="shared" si="82"/>
        <v>0</v>
      </c>
      <c r="M105" s="196">
        <f t="shared" si="74"/>
        <v>12938.164287846745</v>
      </c>
      <c r="N105" s="29">
        <f t="shared" si="75"/>
        <v>12666.666666666666</v>
      </c>
      <c r="O105" s="30">
        <f t="shared" si="83"/>
        <v>271.49762118007857</v>
      </c>
      <c r="P105" s="43"/>
      <c r="Q105" s="44"/>
      <c r="R105" s="33"/>
      <c r="V105" s="45"/>
      <c r="W105" s="7"/>
      <c r="X105" s="7"/>
      <c r="Y105" s="46"/>
      <c r="Z105" s="7"/>
      <c r="AA105" s="7"/>
      <c r="AC105" s="7"/>
    </row>
    <row r="106" spans="1:29">
      <c r="A106" s="18">
        <v>44957</v>
      </c>
      <c r="B106" s="37">
        <f t="shared" si="6"/>
        <v>0</v>
      </c>
      <c r="C106" s="29"/>
      <c r="D106" s="29">
        <v>0</v>
      </c>
      <c r="E106" s="38"/>
      <c r="F106" s="39"/>
      <c r="G106" s="47"/>
      <c r="H106" s="24">
        <f t="shared" si="80"/>
        <v>1162130.5895855634</v>
      </c>
      <c r="I106" s="41">
        <f t="shared" si="67"/>
        <v>1160000</v>
      </c>
      <c r="J106" s="29">
        <f t="shared" si="68"/>
        <v>7733.333333333333</v>
      </c>
      <c r="K106" s="42">
        <f t="shared" si="81"/>
        <v>-5602.7437477698068</v>
      </c>
      <c r="L106" s="33">
        <f t="shared" si="82"/>
        <v>0</v>
      </c>
      <c r="M106" s="196">
        <f t="shared" si="76"/>
        <v>7831.5273741761148</v>
      </c>
      <c r="N106" s="29">
        <f t="shared" si="77"/>
        <v>7733.333333333333</v>
      </c>
      <c r="O106" s="30">
        <f t="shared" si="83"/>
        <v>98.19404084278176</v>
      </c>
      <c r="P106" s="43"/>
      <c r="Q106" s="44"/>
      <c r="R106" s="33"/>
      <c r="V106" s="45"/>
      <c r="W106" s="7"/>
      <c r="X106" s="7"/>
      <c r="Y106" s="46"/>
      <c r="Z106" s="7">
        <f t="shared" si="78"/>
        <v>20769.691662022859</v>
      </c>
      <c r="AA106" s="7"/>
      <c r="AC106" s="7"/>
    </row>
    <row r="107" spans="1:29">
      <c r="A107" s="18">
        <v>44977</v>
      </c>
      <c r="B107" s="37">
        <f t="shared" si="6"/>
        <v>-59977.777777777781</v>
      </c>
      <c r="C107" s="29">
        <v>-40000</v>
      </c>
      <c r="D107" s="29">
        <f t="shared" ref="D107" si="91">-I105*O$4*(A107-A105)/360</f>
        <v>-19977.777777777777</v>
      </c>
      <c r="E107" s="38"/>
      <c r="F107" s="39"/>
      <c r="G107" s="47"/>
      <c r="H107" s="24">
        <f t="shared" si="80"/>
        <v>1114661.5403385796</v>
      </c>
      <c r="I107" s="41">
        <f t="shared" si="67"/>
        <v>1120000</v>
      </c>
      <c r="J107" s="29">
        <f t="shared" si="68"/>
        <v>0</v>
      </c>
      <c r="K107" s="42">
        <f t="shared" si="81"/>
        <v>-5338.4596614203647</v>
      </c>
      <c r="L107" s="33">
        <f t="shared" si="82"/>
        <v>0</v>
      </c>
      <c r="M107" s="196">
        <f t="shared" si="74"/>
        <v>12508.728530793887</v>
      </c>
      <c r="N107" s="29">
        <f t="shared" si="75"/>
        <v>12244.444444444445</v>
      </c>
      <c r="O107" s="30">
        <f t="shared" si="83"/>
        <v>264.28408634944208</v>
      </c>
      <c r="P107" s="43"/>
      <c r="Q107" s="44"/>
      <c r="R107" s="33"/>
      <c r="V107" s="45"/>
      <c r="W107" s="7"/>
      <c r="X107" s="7"/>
      <c r="Y107" s="46"/>
      <c r="Z107" s="7"/>
      <c r="AA107" s="7"/>
      <c r="AC107" s="7"/>
    </row>
    <row r="108" spans="1:29">
      <c r="A108" s="18">
        <v>44985</v>
      </c>
      <c r="B108" s="37">
        <f t="shared" si="6"/>
        <v>0</v>
      </c>
      <c r="C108" s="29"/>
      <c r="D108" s="29">
        <v>0</v>
      </c>
      <c r="E108" s="38"/>
      <c r="F108" s="39"/>
      <c r="G108" s="47"/>
      <c r="H108" s="24">
        <f t="shared" si="80"/>
        <v>1120328.6937839545</v>
      </c>
      <c r="I108" s="41">
        <f t="shared" si="67"/>
        <v>1120000</v>
      </c>
      <c r="J108" s="29">
        <f t="shared" si="68"/>
        <v>5600</v>
      </c>
      <c r="K108" s="42">
        <f t="shared" si="81"/>
        <v>-5271.3062160454347</v>
      </c>
      <c r="L108" s="33">
        <f t="shared" si="82"/>
        <v>0</v>
      </c>
      <c r="M108" s="196">
        <f t="shared" si="76"/>
        <v>5667.15344537493</v>
      </c>
      <c r="N108" s="29">
        <f t="shared" si="77"/>
        <v>5600</v>
      </c>
      <c r="O108" s="30">
        <f t="shared" si="83"/>
        <v>67.153445374930016</v>
      </c>
      <c r="P108" s="43"/>
      <c r="Q108" s="44"/>
      <c r="R108" s="33"/>
      <c r="V108" s="45"/>
      <c r="W108" s="7"/>
      <c r="X108" s="7"/>
      <c r="Y108" s="46"/>
      <c r="Z108" s="7">
        <f t="shared" si="78"/>
        <v>18175.881976168817</v>
      </c>
      <c r="AA108" s="7"/>
      <c r="AC108" s="7"/>
    </row>
    <row r="109" spans="1:29">
      <c r="A109" s="18">
        <v>45005</v>
      </c>
      <c r="B109" s="37">
        <f t="shared" si="6"/>
        <v>-57422.222222222219</v>
      </c>
      <c r="C109" s="29">
        <v>-40000</v>
      </c>
      <c r="D109" s="29">
        <f t="shared" ref="D109" si="92">-I107*O$4*(A109-A107)/360</f>
        <v>-17422.222222222223</v>
      </c>
      <c r="E109" s="38"/>
      <c r="F109" s="39"/>
      <c r="G109" s="47"/>
      <c r="H109" s="24">
        <f t="shared" si="80"/>
        <v>1074965.2604976643</v>
      </c>
      <c r="I109" s="41">
        <f t="shared" si="67"/>
        <v>1080000</v>
      </c>
      <c r="J109" s="29">
        <f t="shared" si="68"/>
        <v>0</v>
      </c>
      <c r="K109" s="42">
        <f t="shared" si="81"/>
        <v>-5034.7395023357649</v>
      </c>
      <c r="L109" s="33">
        <f t="shared" si="82"/>
        <v>0</v>
      </c>
      <c r="M109" s="196">
        <f t="shared" si="74"/>
        <v>12058.788935931892</v>
      </c>
      <c r="N109" s="29">
        <f t="shared" si="75"/>
        <v>11822.222222222223</v>
      </c>
      <c r="O109" s="30">
        <f t="shared" si="83"/>
        <v>236.56671370966978</v>
      </c>
      <c r="P109" s="43"/>
      <c r="Q109" s="44"/>
      <c r="R109" s="33"/>
      <c r="V109" s="45"/>
      <c r="W109" s="7"/>
      <c r="X109" s="7"/>
      <c r="Y109" s="46"/>
      <c r="Z109" s="7"/>
      <c r="AA109" s="7"/>
      <c r="AC109" s="7"/>
    </row>
    <row r="110" spans="1:29">
      <c r="A110" s="18">
        <v>45016</v>
      </c>
      <c r="B110" s="37">
        <f t="shared" si="6"/>
        <v>0</v>
      </c>
      <c r="C110" s="29"/>
      <c r="D110" s="29">
        <v>0</v>
      </c>
      <c r="E110" s="38"/>
      <c r="F110" s="39"/>
      <c r="G110" s="47"/>
      <c r="H110" s="24">
        <f t="shared" si="80"/>
        <v>1082258.5349526808</v>
      </c>
      <c r="I110" s="41">
        <f t="shared" si="67"/>
        <v>1080000</v>
      </c>
      <c r="J110" s="29">
        <f t="shared" si="68"/>
        <v>7200</v>
      </c>
      <c r="K110" s="42">
        <f t="shared" si="81"/>
        <v>-4941.4650473192614</v>
      </c>
      <c r="L110" s="33">
        <f t="shared" si="82"/>
        <v>0</v>
      </c>
      <c r="M110" s="196">
        <f t="shared" si="76"/>
        <v>7293.2744550165035</v>
      </c>
      <c r="N110" s="29">
        <f t="shared" si="77"/>
        <v>7200</v>
      </c>
      <c r="O110" s="30">
        <f t="shared" si="83"/>
        <v>93.274455016503452</v>
      </c>
      <c r="P110" s="43"/>
      <c r="Q110" s="44"/>
      <c r="R110" s="33"/>
      <c r="V110" s="45"/>
      <c r="W110" s="7"/>
      <c r="X110" s="7"/>
      <c r="Y110" s="46"/>
      <c r="Z110" s="7">
        <f t="shared" si="78"/>
        <v>19352.063390948395</v>
      </c>
      <c r="AA110" s="7"/>
      <c r="AC110" s="7"/>
    </row>
    <row r="111" spans="1:29">
      <c r="A111" s="18">
        <v>45036</v>
      </c>
      <c r="B111" s="37">
        <f t="shared" si="6"/>
        <v>-58600</v>
      </c>
      <c r="C111" s="29">
        <v>-40000</v>
      </c>
      <c r="D111" s="29">
        <f t="shared" ref="D111" si="93">-I109*O$4*(A111-A109)/360</f>
        <v>-18600</v>
      </c>
      <c r="E111" s="38"/>
      <c r="F111" s="39"/>
      <c r="G111" s="47"/>
      <c r="H111" s="24">
        <f t="shared" si="80"/>
        <v>1035307.5512811173</v>
      </c>
      <c r="I111" s="41">
        <f t="shared" si="67"/>
        <v>1040000</v>
      </c>
      <c r="J111" s="29">
        <f t="shared" si="68"/>
        <v>0</v>
      </c>
      <c r="K111" s="42">
        <f t="shared" si="81"/>
        <v>-4692.4487188827388</v>
      </c>
      <c r="L111" s="33">
        <f t="shared" si="82"/>
        <v>0</v>
      </c>
      <c r="M111" s="196">
        <f t="shared" si="74"/>
        <v>11649.016328436523</v>
      </c>
      <c r="N111" s="29">
        <f t="shared" si="75"/>
        <v>11400</v>
      </c>
      <c r="O111" s="30">
        <f t="shared" si="83"/>
        <v>249.0163284365226</v>
      </c>
      <c r="P111" s="43"/>
      <c r="Q111" s="44"/>
      <c r="R111" s="33"/>
      <c r="V111" s="45"/>
      <c r="W111" s="7"/>
      <c r="X111" s="7"/>
      <c r="Y111" s="46"/>
      <c r="Z111" s="7"/>
      <c r="AA111" s="7"/>
      <c r="AC111" s="7"/>
    </row>
    <row r="112" spans="1:29">
      <c r="A112" s="18">
        <v>45046</v>
      </c>
      <c r="B112" s="37">
        <f t="shared" si="6"/>
        <v>0</v>
      </c>
      <c r="C112" s="29"/>
      <c r="D112" s="29">
        <v>0</v>
      </c>
      <c r="E112" s="38"/>
      <c r="F112" s="39"/>
      <c r="G112" s="47"/>
      <c r="H112" s="24">
        <f t="shared" si="80"/>
        <v>1041744.5949912948</v>
      </c>
      <c r="I112" s="41">
        <f t="shared" si="67"/>
        <v>1040000</v>
      </c>
      <c r="J112" s="29">
        <f t="shared" si="68"/>
        <v>6355.5555555555557</v>
      </c>
      <c r="K112" s="42">
        <f t="shared" si="81"/>
        <v>-4610.9605642606712</v>
      </c>
      <c r="L112" s="33">
        <f t="shared" si="82"/>
        <v>0</v>
      </c>
      <c r="M112" s="196">
        <f t="shared" si="76"/>
        <v>6437.0437101776233</v>
      </c>
      <c r="N112" s="29">
        <f t="shared" si="77"/>
        <v>6355.5555555555557</v>
      </c>
      <c r="O112" s="30">
        <f t="shared" si="83"/>
        <v>81.488154622067668</v>
      </c>
      <c r="P112" s="43"/>
      <c r="Q112" s="44"/>
      <c r="R112" s="33"/>
      <c r="V112" s="45"/>
      <c r="W112" s="7"/>
      <c r="X112" s="7"/>
      <c r="Y112" s="46"/>
      <c r="Z112" s="7">
        <f t="shared" si="78"/>
        <v>18086.060038614145</v>
      </c>
      <c r="AA112" s="7"/>
      <c r="AC112" s="7"/>
    </row>
    <row r="113" spans="1:29">
      <c r="A113" s="18">
        <v>45066</v>
      </c>
      <c r="B113" s="37">
        <f t="shared" si="6"/>
        <v>-57333.333333333328</v>
      </c>
      <c r="C113" s="29">
        <v>-40000</v>
      </c>
      <c r="D113" s="29">
        <f t="shared" ref="D113" si="94">-I111*O$4*(A113-A111)/360</f>
        <v>-17333.333333333332</v>
      </c>
      <c r="E113" s="38"/>
      <c r="F113" s="39"/>
      <c r="G113" s="47"/>
      <c r="H113" s="24">
        <f t="shared" si="80"/>
        <v>995624.20145486936</v>
      </c>
      <c r="I113" s="41">
        <f t="shared" si="67"/>
        <v>1000000</v>
      </c>
      <c r="J113" s="29">
        <f t="shared" si="68"/>
        <v>0</v>
      </c>
      <c r="K113" s="42">
        <f t="shared" si="81"/>
        <v>-4375.7985451306122</v>
      </c>
      <c r="L113" s="33">
        <f t="shared" si="82"/>
        <v>0</v>
      </c>
      <c r="M113" s="196">
        <f t="shared" si="74"/>
        <v>11212.939796907836</v>
      </c>
      <c r="N113" s="29">
        <f t="shared" si="75"/>
        <v>10977.777777777777</v>
      </c>
      <c r="O113" s="30">
        <f t="shared" si="83"/>
        <v>235.16201913005898</v>
      </c>
      <c r="P113" s="43"/>
      <c r="Q113" s="44"/>
      <c r="R113" s="33"/>
      <c r="V113" s="45"/>
      <c r="W113" s="7"/>
      <c r="X113" s="7"/>
      <c r="Y113" s="46"/>
      <c r="Z113" s="7"/>
      <c r="AA113" s="7"/>
      <c r="AC113" s="7"/>
    </row>
    <row r="114" spans="1:29">
      <c r="A114" s="18">
        <v>45077</v>
      </c>
      <c r="B114" s="37">
        <f t="shared" si="6"/>
        <v>0</v>
      </c>
      <c r="C114" s="29"/>
      <c r="D114" s="29">
        <v>0</v>
      </c>
      <c r="E114" s="38"/>
      <c r="F114" s="39"/>
      <c r="G114" s="47"/>
      <c r="H114" s="24">
        <f t="shared" si="80"/>
        <v>1002379.1737522116</v>
      </c>
      <c r="I114" s="41">
        <f t="shared" si="67"/>
        <v>1000000</v>
      </c>
      <c r="J114" s="29">
        <f t="shared" si="68"/>
        <v>6666.666666666667</v>
      </c>
      <c r="K114" s="42">
        <f t="shared" si="81"/>
        <v>-4287.4929144550424</v>
      </c>
      <c r="L114" s="33">
        <f t="shared" si="82"/>
        <v>0</v>
      </c>
      <c r="M114" s="196">
        <f t="shared" si="76"/>
        <v>6754.9722973422367</v>
      </c>
      <c r="N114" s="29">
        <f t="shared" si="77"/>
        <v>6666.666666666667</v>
      </c>
      <c r="O114" s="30">
        <f t="shared" si="83"/>
        <v>88.305630675569773</v>
      </c>
      <c r="P114" s="43"/>
      <c r="Q114" s="44"/>
      <c r="R114" s="33"/>
      <c r="V114" s="45"/>
      <c r="W114" s="7"/>
      <c r="X114" s="7"/>
      <c r="Y114" s="46"/>
      <c r="Z114" s="7">
        <f t="shared" si="78"/>
        <v>17967.912094250074</v>
      </c>
      <c r="AA114" s="7"/>
      <c r="AC114" s="7"/>
    </row>
    <row r="115" spans="1:29">
      <c r="A115" s="18">
        <v>45097</v>
      </c>
      <c r="B115" s="37">
        <f t="shared" si="6"/>
        <v>-57222.222222222219</v>
      </c>
      <c r="C115" s="29">
        <v>-40000</v>
      </c>
      <c r="D115" s="29">
        <f t="shared" ref="D115" si="95">-I113*O$4*(A115-A113)/360</f>
        <v>-17222.222222222223</v>
      </c>
      <c r="E115" s="38"/>
      <c r="F115" s="39"/>
      <c r="G115" s="47"/>
      <c r="H115" s="24">
        <f t="shared" si="80"/>
        <v>955946.17701097368</v>
      </c>
      <c r="I115" s="41">
        <f t="shared" si="67"/>
        <v>960000</v>
      </c>
      <c r="J115" s="29">
        <f t="shared" si="68"/>
        <v>0</v>
      </c>
      <c r="K115" s="42">
        <f t="shared" si="81"/>
        <v>-4053.8229890262755</v>
      </c>
      <c r="L115" s="33">
        <f t="shared" si="82"/>
        <v>0</v>
      </c>
      <c r="M115" s="196">
        <f t="shared" si="74"/>
        <v>10789.225480984322</v>
      </c>
      <c r="N115" s="29">
        <f t="shared" si="75"/>
        <v>10555.555555555555</v>
      </c>
      <c r="O115" s="30">
        <f t="shared" si="83"/>
        <v>233.66992542876687</v>
      </c>
      <c r="P115" s="43"/>
      <c r="Q115" s="44"/>
      <c r="R115" s="33"/>
      <c r="V115" s="45"/>
      <c r="W115" s="7"/>
      <c r="X115" s="7"/>
      <c r="Y115" s="46"/>
      <c r="Z115" s="7"/>
      <c r="AA115" s="7"/>
      <c r="AC115" s="7"/>
    </row>
    <row r="116" spans="1:29">
      <c r="A116" s="18">
        <v>45107</v>
      </c>
      <c r="B116" s="37">
        <f t="shared" si="6"/>
        <v>0</v>
      </c>
      <c r="C116" s="29"/>
      <c r="D116" s="29">
        <v>0</v>
      </c>
      <c r="E116" s="38"/>
      <c r="F116" s="39"/>
      <c r="G116" s="47"/>
      <c r="H116" s="24">
        <f t="shared" si="80"/>
        <v>961889.78991941072</v>
      </c>
      <c r="I116" s="41">
        <f t="shared" si="67"/>
        <v>960000</v>
      </c>
      <c r="J116" s="29">
        <f t="shared" si="68"/>
        <v>5866.666666666667</v>
      </c>
      <c r="K116" s="42">
        <f t="shared" si="81"/>
        <v>-3976.8767472558629</v>
      </c>
      <c r="L116" s="33">
        <f t="shared" si="82"/>
        <v>0</v>
      </c>
      <c r="M116" s="196">
        <f t="shared" si="76"/>
        <v>5943.6129084370796</v>
      </c>
      <c r="N116" s="29">
        <f t="shared" si="77"/>
        <v>5866.666666666667</v>
      </c>
      <c r="O116" s="30">
        <f t="shared" si="83"/>
        <v>76.946241770412598</v>
      </c>
      <c r="P116" s="43"/>
      <c r="Q116" s="44"/>
      <c r="R116" s="33"/>
      <c r="V116" s="45"/>
      <c r="W116" s="7"/>
      <c r="X116" s="7"/>
      <c r="Y116" s="46"/>
      <c r="Z116" s="7">
        <f t="shared" si="78"/>
        <v>16732.838389421402</v>
      </c>
      <c r="AA116" s="7"/>
      <c r="AC116" s="7"/>
    </row>
    <row r="117" spans="1:29">
      <c r="A117" s="18">
        <v>45127</v>
      </c>
      <c r="B117" s="37">
        <f t="shared" si="6"/>
        <v>-56000</v>
      </c>
      <c r="C117" s="29">
        <v>-40000</v>
      </c>
      <c r="D117" s="29">
        <f t="shared" ref="D117" si="96">-I115*O$4*(A117-A115)/360</f>
        <v>-16000</v>
      </c>
      <c r="E117" s="38"/>
      <c r="F117" s="39"/>
      <c r="G117" s="47"/>
      <c r="H117" s="24">
        <f t="shared" si="80"/>
        <v>916243.20318162872</v>
      </c>
      <c r="I117" s="41">
        <f t="shared" si="67"/>
        <v>920000</v>
      </c>
      <c r="J117" s="29">
        <f t="shared" si="68"/>
        <v>0</v>
      </c>
      <c r="K117" s="42">
        <f t="shared" si="81"/>
        <v>-3756.7968183713037</v>
      </c>
      <c r="L117" s="33">
        <f t="shared" si="82"/>
        <v>0</v>
      </c>
      <c r="M117" s="196">
        <f t="shared" si="74"/>
        <v>10353.413262217893</v>
      </c>
      <c r="N117" s="29">
        <f t="shared" si="75"/>
        <v>10133.333333333334</v>
      </c>
      <c r="O117" s="30">
        <f t="shared" si="83"/>
        <v>220.07992888455919</v>
      </c>
      <c r="P117" s="43"/>
      <c r="Q117" s="44"/>
      <c r="R117" s="33"/>
      <c r="V117" s="45"/>
      <c r="W117" s="7"/>
      <c r="X117" s="7"/>
      <c r="Y117" s="46"/>
      <c r="Z117" s="7"/>
      <c r="AA117" s="7"/>
      <c r="AC117" s="7"/>
    </row>
    <row r="118" spans="1:29">
      <c r="A118" s="18">
        <v>45138</v>
      </c>
      <c r="B118" s="37">
        <f t="shared" si="6"/>
        <v>0</v>
      </c>
      <c r="C118" s="29"/>
      <c r="D118" s="29">
        <v>0</v>
      </c>
      <c r="E118" s="38"/>
      <c r="F118" s="39"/>
      <c r="G118" s="47"/>
      <c r="H118" s="24">
        <f t="shared" si="80"/>
        <v>922459.60234717326</v>
      </c>
      <c r="I118" s="41">
        <f t="shared" si="67"/>
        <v>920000</v>
      </c>
      <c r="J118" s="29">
        <f t="shared" si="68"/>
        <v>6133.333333333333</v>
      </c>
      <c r="K118" s="42">
        <f t="shared" si="81"/>
        <v>-3673.7309861600797</v>
      </c>
      <c r="L118" s="33">
        <f t="shared" si="82"/>
        <v>0</v>
      </c>
      <c r="M118" s="196">
        <f t="shared" si="76"/>
        <v>6216.399165544557</v>
      </c>
      <c r="N118" s="29">
        <f t="shared" si="77"/>
        <v>6133.333333333333</v>
      </c>
      <c r="O118" s="30">
        <f t="shared" si="83"/>
        <v>83.065832211224006</v>
      </c>
      <c r="P118" s="43"/>
      <c r="Q118" s="44"/>
      <c r="R118" s="33"/>
      <c r="V118" s="45"/>
      <c r="W118" s="7"/>
      <c r="X118" s="7"/>
      <c r="Y118" s="46"/>
      <c r="Z118" s="7">
        <f t="shared" si="78"/>
        <v>16569.812427762452</v>
      </c>
      <c r="AA118" s="7"/>
      <c r="AC118" s="7"/>
    </row>
    <row r="119" spans="1:29">
      <c r="A119" s="18">
        <v>45158</v>
      </c>
      <c r="B119" s="37">
        <f t="shared" si="6"/>
        <v>-55844.444444444445</v>
      </c>
      <c r="C119" s="29">
        <v>-40000</v>
      </c>
      <c r="D119" s="29">
        <f t="shared" ref="D119" si="97">-I117*O$4*(A119-A117)/360</f>
        <v>-15844.444444444445</v>
      </c>
      <c r="E119" s="38"/>
      <c r="F119" s="39"/>
      <c r="G119" s="47"/>
      <c r="H119" s="24">
        <f t="shared" si="80"/>
        <v>876544.15972902079</v>
      </c>
      <c r="I119" s="41">
        <f t="shared" si="67"/>
        <v>880000</v>
      </c>
      <c r="J119" s="29">
        <f t="shared" si="68"/>
        <v>0</v>
      </c>
      <c r="K119" s="42">
        <f t="shared" si="81"/>
        <v>-3455.8402709791799</v>
      </c>
      <c r="L119" s="33">
        <f t="shared" si="82"/>
        <v>0</v>
      </c>
      <c r="M119" s="196">
        <f t="shared" si="74"/>
        <v>9929.0018262920112</v>
      </c>
      <c r="N119" s="29">
        <f t="shared" si="75"/>
        <v>9711.1111111111113</v>
      </c>
      <c r="O119" s="30">
        <f t="shared" si="83"/>
        <v>217.89071518089986</v>
      </c>
      <c r="P119" s="43"/>
      <c r="Q119" s="44"/>
      <c r="R119" s="33"/>
      <c r="V119" s="45"/>
      <c r="W119" s="7"/>
      <c r="X119" s="7"/>
      <c r="Y119" s="46"/>
      <c r="Z119" s="7"/>
      <c r="AA119" s="7"/>
      <c r="AC119" s="7"/>
    </row>
    <row r="120" spans="1:29">
      <c r="A120" s="18">
        <v>45169</v>
      </c>
      <c r="B120" s="37">
        <f t="shared" si="6"/>
        <v>0</v>
      </c>
      <c r="C120" s="29"/>
      <c r="D120" s="29">
        <v>0</v>
      </c>
      <c r="E120" s="38"/>
      <c r="F120" s="39"/>
      <c r="G120" s="47"/>
      <c r="H120" s="24">
        <f t="shared" si="80"/>
        <v>882491.21435838239</v>
      </c>
      <c r="I120" s="41">
        <f t="shared" si="67"/>
        <v>880000</v>
      </c>
      <c r="J120" s="29">
        <f t="shared" si="68"/>
        <v>5866.666666666667</v>
      </c>
      <c r="K120" s="42">
        <f t="shared" si="81"/>
        <v>-3375.4523082842097</v>
      </c>
      <c r="L120" s="33">
        <f t="shared" si="82"/>
        <v>0</v>
      </c>
      <c r="M120" s="196">
        <f t="shared" si="76"/>
        <v>5947.0546293616371</v>
      </c>
      <c r="N120" s="29">
        <f t="shared" si="77"/>
        <v>5866.666666666667</v>
      </c>
      <c r="O120" s="30">
        <f t="shared" si="83"/>
        <v>80.387962694970156</v>
      </c>
      <c r="P120" s="43"/>
      <c r="Q120" s="44"/>
      <c r="R120" s="33"/>
      <c r="V120" s="45"/>
      <c r="W120" s="7"/>
      <c r="X120" s="7"/>
      <c r="Y120" s="46"/>
      <c r="Z120" s="7">
        <f t="shared" si="78"/>
        <v>15876.056455653648</v>
      </c>
      <c r="AA120" s="7"/>
      <c r="AC120" s="7"/>
    </row>
    <row r="121" spans="1:29">
      <c r="A121" s="18">
        <v>45189</v>
      </c>
      <c r="B121" s="37">
        <f t="shared" si="6"/>
        <v>-55155.555555555555</v>
      </c>
      <c r="C121" s="29">
        <v>-40000</v>
      </c>
      <c r="D121" s="29">
        <f t="shared" ref="D121" si="98">-I119*O$4*(A121-A119)/360</f>
        <v>-15155.555555555555</v>
      </c>
      <c r="E121" s="38"/>
      <c r="F121" s="39"/>
      <c r="G121" s="47"/>
      <c r="H121" s="24">
        <f t="shared" si="80"/>
        <v>836834.4562100583</v>
      </c>
      <c r="I121" s="41">
        <f t="shared" si="67"/>
        <v>840000</v>
      </c>
      <c r="J121" s="29">
        <f t="shared" si="68"/>
        <v>0</v>
      </c>
      <c r="K121" s="42">
        <f t="shared" si="81"/>
        <v>-3165.5437899417029</v>
      </c>
      <c r="L121" s="33">
        <f t="shared" si="82"/>
        <v>0</v>
      </c>
      <c r="M121" s="196">
        <f t="shared" si="74"/>
        <v>9498.7974072313955</v>
      </c>
      <c r="N121" s="29">
        <f t="shared" si="75"/>
        <v>9288.8888888888887</v>
      </c>
      <c r="O121" s="30">
        <f t="shared" si="83"/>
        <v>209.9085183425068</v>
      </c>
      <c r="P121" s="43"/>
      <c r="Q121" s="44"/>
      <c r="R121" s="33"/>
      <c r="V121" s="45"/>
      <c r="W121" s="7"/>
      <c r="X121" s="7"/>
      <c r="Y121" s="46"/>
      <c r="Z121" s="7"/>
      <c r="AA121" s="7"/>
      <c r="AC121" s="7"/>
    </row>
    <row r="122" spans="1:29">
      <c r="A122" s="18">
        <v>45199</v>
      </c>
      <c r="B122" s="37">
        <f t="shared" si="6"/>
        <v>0</v>
      </c>
      <c r="C122" s="29"/>
      <c r="D122" s="29">
        <v>0</v>
      </c>
      <c r="E122" s="38"/>
      <c r="F122" s="39"/>
      <c r="G122" s="47"/>
      <c r="H122" s="24">
        <f t="shared" si="80"/>
        <v>842037.48980731273</v>
      </c>
      <c r="I122" s="41">
        <f t="shared" si="67"/>
        <v>840000</v>
      </c>
      <c r="J122" s="29">
        <f t="shared" si="68"/>
        <v>5133.333333333333</v>
      </c>
      <c r="K122" s="42">
        <f t="shared" si="81"/>
        <v>-3095.8435260206052</v>
      </c>
      <c r="L122" s="33">
        <f t="shared" si="82"/>
        <v>0</v>
      </c>
      <c r="M122" s="196">
        <f t="shared" si="76"/>
        <v>5203.0335972544308</v>
      </c>
      <c r="N122" s="29">
        <f t="shared" si="77"/>
        <v>5133.333333333333</v>
      </c>
      <c r="O122" s="30">
        <f t="shared" si="83"/>
        <v>69.700263921097758</v>
      </c>
      <c r="P122" s="43"/>
      <c r="Q122" s="44"/>
      <c r="R122" s="33"/>
      <c r="V122" s="45"/>
      <c r="W122" s="7"/>
      <c r="X122" s="7"/>
      <c r="Y122" s="46"/>
      <c r="Z122" s="7">
        <f t="shared" si="78"/>
        <v>14701.831004485826</v>
      </c>
      <c r="AA122" s="7"/>
      <c r="AC122" s="7"/>
    </row>
    <row r="123" spans="1:29">
      <c r="A123" s="18">
        <v>45219</v>
      </c>
      <c r="B123" s="37">
        <f t="shared" si="6"/>
        <v>-54000</v>
      </c>
      <c r="C123" s="29">
        <v>-40000</v>
      </c>
      <c r="D123" s="29">
        <f t="shared" ref="D123" si="99">-I121*O$4*(A123-A121)/360</f>
        <v>-14000</v>
      </c>
      <c r="E123" s="38"/>
      <c r="F123" s="39"/>
      <c r="G123" s="47"/>
      <c r="H123" s="24">
        <f t="shared" si="80"/>
        <v>797100.85881862754</v>
      </c>
      <c r="I123" s="41">
        <f t="shared" si="67"/>
        <v>800000</v>
      </c>
      <c r="J123" s="29">
        <f t="shared" si="68"/>
        <v>0</v>
      </c>
      <c r="K123" s="42">
        <f t="shared" si="81"/>
        <v>-2899.1411813724653</v>
      </c>
      <c r="L123" s="33">
        <f t="shared" si="82"/>
        <v>0</v>
      </c>
      <c r="M123" s="196">
        <f t="shared" si="74"/>
        <v>9063.3690113148059</v>
      </c>
      <c r="N123" s="29">
        <f t="shared" si="75"/>
        <v>8866.6666666666661</v>
      </c>
      <c r="O123" s="30">
        <f t="shared" si="83"/>
        <v>196.70234464813984</v>
      </c>
      <c r="P123" s="43"/>
      <c r="Q123" s="44"/>
      <c r="R123" s="33"/>
      <c r="V123" s="45"/>
      <c r="W123" s="7"/>
      <c r="X123" s="7"/>
      <c r="Y123" s="46"/>
      <c r="Z123" s="7"/>
      <c r="AA123" s="7"/>
      <c r="AC123" s="7"/>
    </row>
    <row r="124" spans="1:29">
      <c r="A124" s="18">
        <v>45230</v>
      </c>
      <c r="B124" s="37">
        <f t="shared" si="6"/>
        <v>0</v>
      </c>
      <c r="C124" s="29"/>
      <c r="D124" s="29">
        <v>0</v>
      </c>
      <c r="E124" s="38"/>
      <c r="F124" s="39"/>
      <c r="G124" s="47"/>
      <c r="H124" s="24">
        <f t="shared" si="80"/>
        <v>802508.91761394369</v>
      </c>
      <c r="I124" s="41">
        <f t="shared" si="67"/>
        <v>800000</v>
      </c>
      <c r="J124" s="29">
        <f t="shared" si="68"/>
        <v>5333.333333333333</v>
      </c>
      <c r="K124" s="42">
        <f t="shared" si="81"/>
        <v>-2824.415719389739</v>
      </c>
      <c r="L124" s="33">
        <f t="shared" si="82"/>
        <v>0</v>
      </c>
      <c r="M124" s="196">
        <f t="shared" si="76"/>
        <v>5408.0587953160593</v>
      </c>
      <c r="N124" s="29">
        <f t="shared" si="77"/>
        <v>5333.333333333333</v>
      </c>
      <c r="O124" s="30">
        <f t="shared" si="83"/>
        <v>74.725461982726301</v>
      </c>
      <c r="P124" s="43"/>
      <c r="Q124" s="44"/>
      <c r="R124" s="33"/>
      <c r="V124" s="45"/>
      <c r="W124" s="7"/>
      <c r="X124" s="7"/>
      <c r="Y124" s="46"/>
      <c r="Z124" s="7">
        <f t="shared" si="78"/>
        <v>14471.427806630865</v>
      </c>
      <c r="AA124" s="7"/>
      <c r="AC124" s="7"/>
    </row>
    <row r="125" spans="1:29">
      <c r="A125" s="18">
        <v>45250</v>
      </c>
      <c r="B125" s="37">
        <f t="shared" si="6"/>
        <v>-53777.777777777781</v>
      </c>
      <c r="C125" s="29">
        <v>-40000</v>
      </c>
      <c r="D125" s="29">
        <f t="shared" ref="D125" si="100">-I123*O$4*(A125-A123)/360</f>
        <v>-13777.777777777777</v>
      </c>
      <c r="E125" s="38"/>
      <c r="F125" s="39"/>
      <c r="G125" s="47"/>
      <c r="H125" s="24">
        <f t="shared" si="80"/>
        <v>757369.03843717754</v>
      </c>
      <c r="I125" s="41">
        <f t="shared" si="67"/>
        <v>760000</v>
      </c>
      <c r="J125" s="29">
        <f t="shared" si="68"/>
        <v>0</v>
      </c>
      <c r="K125" s="42">
        <f t="shared" si="81"/>
        <v>-2630.9615628224692</v>
      </c>
      <c r="L125" s="33">
        <f t="shared" si="82"/>
        <v>0</v>
      </c>
      <c r="M125" s="196">
        <f t="shared" si="74"/>
        <v>8637.8986010117151</v>
      </c>
      <c r="N125" s="29">
        <f t="shared" si="75"/>
        <v>8444.4444444444453</v>
      </c>
      <c r="O125" s="30">
        <f t="shared" si="83"/>
        <v>193.45415656726982</v>
      </c>
      <c r="P125" s="43"/>
      <c r="Q125" s="44"/>
      <c r="R125" s="33"/>
      <c r="V125" s="45"/>
      <c r="W125" s="7"/>
      <c r="X125" s="7"/>
      <c r="Y125" s="46"/>
      <c r="Z125" s="7"/>
      <c r="AA125" s="7"/>
      <c r="AC125" s="7"/>
    </row>
    <row r="126" spans="1:29">
      <c r="A126" s="18">
        <v>45260</v>
      </c>
      <c r="B126" s="37">
        <f t="shared" si="6"/>
        <v>0</v>
      </c>
      <c r="C126" s="29"/>
      <c r="D126" s="29">
        <v>0</v>
      </c>
      <c r="E126" s="38"/>
      <c r="F126" s="39"/>
      <c r="G126" s="47"/>
      <c r="H126" s="24">
        <f t="shared" si="80"/>
        <v>762077.99434030277</v>
      </c>
      <c r="I126" s="41">
        <f t="shared" si="67"/>
        <v>760000</v>
      </c>
      <c r="J126" s="29">
        <f t="shared" si="68"/>
        <v>4644.4444444444443</v>
      </c>
      <c r="K126" s="42">
        <f t="shared" si="81"/>
        <v>-2566.4501041417179</v>
      </c>
      <c r="L126" s="33">
        <f t="shared" si="82"/>
        <v>0</v>
      </c>
      <c r="M126" s="196">
        <f t="shared" si="76"/>
        <v>4708.9559031251956</v>
      </c>
      <c r="N126" s="29">
        <f t="shared" si="77"/>
        <v>4644.4444444444443</v>
      </c>
      <c r="O126" s="30">
        <f t="shared" si="83"/>
        <v>64.511458680751275</v>
      </c>
      <c r="P126" s="43"/>
      <c r="Q126" s="44"/>
      <c r="R126" s="33"/>
      <c r="V126" s="45"/>
      <c r="W126" s="7"/>
      <c r="X126" s="7"/>
      <c r="Y126" s="46"/>
      <c r="Z126" s="7">
        <f t="shared" si="78"/>
        <v>13346.854504136911</v>
      </c>
      <c r="AA126" s="7"/>
      <c r="AC126" s="7"/>
    </row>
    <row r="127" spans="1:29">
      <c r="A127" s="18">
        <v>45280</v>
      </c>
      <c r="B127" s="37">
        <f t="shared" si="6"/>
        <v>-52666.666666666664</v>
      </c>
      <c r="C127" s="29">
        <v>-40000</v>
      </c>
      <c r="D127" s="29">
        <f t="shared" ref="D127" si="101">-I125*O$4*(A127-A125)/360</f>
        <v>-12666.666666666666</v>
      </c>
      <c r="E127" s="38"/>
      <c r="F127" s="39"/>
      <c r="G127" s="47"/>
      <c r="H127" s="24">
        <f t="shared" si="80"/>
        <v>717614.04330294777</v>
      </c>
      <c r="I127" s="41">
        <f t="shared" si="67"/>
        <v>720000</v>
      </c>
      <c r="J127" s="29">
        <f t="shared" si="68"/>
        <v>0</v>
      </c>
      <c r="K127" s="42">
        <f t="shared" si="81"/>
        <v>-2385.9566970522346</v>
      </c>
      <c r="L127" s="33">
        <f t="shared" si="82"/>
        <v>0</v>
      </c>
      <c r="M127" s="196">
        <f t="shared" si="74"/>
        <v>8202.7156293117059</v>
      </c>
      <c r="N127" s="29">
        <f t="shared" si="75"/>
        <v>8022.2222222222226</v>
      </c>
      <c r="O127" s="30">
        <f t="shared" si="83"/>
        <v>180.4934070894833</v>
      </c>
      <c r="P127" s="43"/>
      <c r="Q127" s="44"/>
      <c r="R127" s="33"/>
      <c r="V127" s="45"/>
      <c r="W127" s="7"/>
      <c r="X127" s="7"/>
      <c r="Y127" s="46"/>
      <c r="Z127" s="7"/>
      <c r="AA127" s="7"/>
      <c r="AC127" s="7"/>
    </row>
    <row r="128" spans="1:29">
      <c r="A128" s="18">
        <v>45291</v>
      </c>
      <c r="B128" s="37">
        <f t="shared" si="6"/>
        <v>0</v>
      </c>
      <c r="C128" s="29"/>
      <c r="D128" s="29">
        <v>0</v>
      </c>
      <c r="E128" s="38"/>
      <c r="F128" s="39"/>
      <c r="G128" s="47"/>
      <c r="H128" s="24">
        <f t="shared" si="80"/>
        <v>722482.81103238999</v>
      </c>
      <c r="I128" s="41">
        <f t="shared" si="67"/>
        <v>720000</v>
      </c>
      <c r="J128" s="29">
        <f t="shared" si="68"/>
        <v>4800</v>
      </c>
      <c r="K128" s="42">
        <f t="shared" si="81"/>
        <v>-2317.1889676099981</v>
      </c>
      <c r="L128" s="33">
        <f t="shared" si="82"/>
        <v>0</v>
      </c>
      <c r="M128" s="196">
        <f t="shared" si="76"/>
        <v>4868.7677294422365</v>
      </c>
      <c r="N128" s="29">
        <f t="shared" si="77"/>
        <v>4800</v>
      </c>
      <c r="O128" s="30">
        <f t="shared" si="83"/>
        <v>68.767729442236487</v>
      </c>
      <c r="P128" s="43"/>
      <c r="Q128" s="44"/>
      <c r="R128" s="33"/>
      <c r="V128" s="45"/>
      <c r="W128" s="7"/>
      <c r="X128" s="7"/>
      <c r="Y128" s="46"/>
      <c r="Z128" s="7">
        <f t="shared" si="78"/>
        <v>13071.483358753943</v>
      </c>
      <c r="AA128" s="7"/>
      <c r="AC128" s="7"/>
    </row>
    <row r="129" spans="1:29">
      <c r="A129" s="18">
        <v>45311</v>
      </c>
      <c r="B129" s="37">
        <f t="shared" si="6"/>
        <v>-52400</v>
      </c>
      <c r="C129" s="29">
        <v>-40000</v>
      </c>
      <c r="D129" s="29">
        <f t="shared" ref="D129" si="102">-I127*O$4*(A129-A127)/360</f>
        <v>-12400</v>
      </c>
      <c r="E129" s="38"/>
      <c r="F129" s="39"/>
      <c r="G129" s="47"/>
      <c r="H129" s="24">
        <f t="shared" si="80"/>
        <v>677859.33927487594</v>
      </c>
      <c r="I129" s="41">
        <f t="shared" si="67"/>
        <v>680000</v>
      </c>
      <c r="J129" s="29">
        <f t="shared" si="68"/>
        <v>0</v>
      </c>
      <c r="K129" s="42">
        <f t="shared" si="81"/>
        <v>-2140.6607251240112</v>
      </c>
      <c r="L129" s="33">
        <f t="shared" si="82"/>
        <v>0</v>
      </c>
      <c r="M129" s="196">
        <f t="shared" si="74"/>
        <v>7776.528242485987</v>
      </c>
      <c r="N129" s="29">
        <f t="shared" si="75"/>
        <v>7600</v>
      </c>
      <c r="O129" s="30">
        <f t="shared" si="83"/>
        <v>176.52824248598699</v>
      </c>
      <c r="P129" s="43"/>
      <c r="Q129" s="44"/>
      <c r="R129" s="33"/>
      <c r="V129" s="45"/>
      <c r="W129" s="7"/>
      <c r="X129" s="7"/>
      <c r="Y129" s="46"/>
      <c r="Z129" s="7"/>
      <c r="AA129" s="7"/>
      <c r="AC129" s="7"/>
    </row>
    <row r="130" spans="1:29">
      <c r="A130" s="18">
        <v>45322</v>
      </c>
      <c r="B130" s="37">
        <f t="shared" si="6"/>
        <v>0</v>
      </c>
      <c r="C130" s="29"/>
      <c r="D130" s="29">
        <v>0</v>
      </c>
      <c r="E130" s="38"/>
      <c r="F130" s="39"/>
      <c r="G130" s="47"/>
      <c r="H130" s="24">
        <f t="shared" si="80"/>
        <v>682458.38483002177</v>
      </c>
      <c r="I130" s="41">
        <f t="shared" si="67"/>
        <v>680000</v>
      </c>
      <c r="J130" s="29">
        <f t="shared" si="68"/>
        <v>4533.333333333333</v>
      </c>
      <c r="K130" s="42">
        <f t="shared" si="81"/>
        <v>-2074.9485033116489</v>
      </c>
      <c r="L130" s="33">
        <f t="shared" si="82"/>
        <v>0</v>
      </c>
      <c r="M130" s="196">
        <f t="shared" si="76"/>
        <v>4599.0455551456953</v>
      </c>
      <c r="N130" s="29">
        <f t="shared" si="77"/>
        <v>4533.333333333333</v>
      </c>
      <c r="O130" s="30">
        <f t="shared" si="83"/>
        <v>65.712221812362259</v>
      </c>
      <c r="P130" s="43"/>
      <c r="Q130" s="44"/>
      <c r="R130" s="33"/>
      <c r="V130" s="45"/>
      <c r="W130" s="7"/>
      <c r="X130" s="7"/>
      <c r="Y130" s="46"/>
      <c r="Z130" s="7">
        <f t="shared" si="78"/>
        <v>12375.573797631681</v>
      </c>
      <c r="AA130" s="7"/>
      <c r="AC130" s="7"/>
    </row>
    <row r="131" spans="1:29">
      <c r="A131" s="18">
        <v>45342</v>
      </c>
      <c r="B131" s="37">
        <f t="shared" si="6"/>
        <v>-51711.111111111109</v>
      </c>
      <c r="C131" s="29">
        <v>-40000</v>
      </c>
      <c r="D131" s="29">
        <f t="shared" ref="D131" si="103">-I129*O$4*(A131-A129)/360</f>
        <v>-11711.111111111111</v>
      </c>
      <c r="E131" s="38"/>
      <c r="F131" s="39"/>
      <c r="G131" s="47"/>
      <c r="H131" s="24">
        <f t="shared" si="80"/>
        <v>638092.99436846958</v>
      </c>
      <c r="I131" s="41">
        <f t="shared" si="67"/>
        <v>640000</v>
      </c>
      <c r="J131" s="29">
        <f t="shared" si="68"/>
        <v>0</v>
      </c>
      <c r="K131" s="42">
        <f t="shared" si="81"/>
        <v>-1907.0056315304619</v>
      </c>
      <c r="L131" s="33">
        <f t="shared" si="82"/>
        <v>0</v>
      </c>
      <c r="M131" s="196">
        <f t="shared" si="74"/>
        <v>7345.7206495589644</v>
      </c>
      <c r="N131" s="29">
        <f t="shared" si="75"/>
        <v>7177.7777777777774</v>
      </c>
      <c r="O131" s="30">
        <f t="shared" si="83"/>
        <v>167.94287178118702</v>
      </c>
      <c r="P131" s="43"/>
      <c r="Q131" s="44"/>
      <c r="R131" s="33"/>
      <c r="V131" s="45"/>
      <c r="W131" s="7"/>
      <c r="X131" s="7"/>
      <c r="Y131" s="46"/>
      <c r="Z131" s="7"/>
      <c r="AA131" s="7"/>
      <c r="AC131" s="7"/>
    </row>
    <row r="132" spans="1:29">
      <c r="A132" s="18">
        <v>45351</v>
      </c>
      <c r="B132" s="37">
        <f t="shared" si="6"/>
        <v>0</v>
      </c>
      <c r="C132" s="29"/>
      <c r="D132" s="29">
        <v>0</v>
      </c>
      <c r="E132" s="38"/>
      <c r="F132" s="39"/>
      <c r="G132" s="47"/>
      <c r="H132" s="24">
        <f t="shared" si="80"/>
        <v>641698.66364474443</v>
      </c>
      <c r="I132" s="41">
        <f t="shared" si="67"/>
        <v>640000</v>
      </c>
      <c r="J132" s="29">
        <f t="shared" si="68"/>
        <v>3555.5555555555557</v>
      </c>
      <c r="K132" s="42">
        <f t="shared" si="81"/>
        <v>-1856.8919108110254</v>
      </c>
      <c r="L132" s="33">
        <f t="shared" si="82"/>
        <v>0</v>
      </c>
      <c r="M132" s="196">
        <f t="shared" si="76"/>
        <v>3605.6692762749922</v>
      </c>
      <c r="N132" s="29">
        <f t="shared" si="77"/>
        <v>3555.5555555555557</v>
      </c>
      <c r="O132" s="30">
        <f t="shared" si="83"/>
        <v>50.113720719436515</v>
      </c>
      <c r="P132" s="43"/>
      <c r="Q132" s="44"/>
      <c r="R132" s="33"/>
      <c r="V132" s="45"/>
      <c r="W132" s="7"/>
      <c r="X132" s="7"/>
      <c r="Y132" s="46"/>
      <c r="Z132" s="7">
        <f t="shared" si="78"/>
        <v>10951.389925833957</v>
      </c>
      <c r="AA132" s="7"/>
      <c r="AC132" s="7"/>
    </row>
    <row r="133" spans="1:29">
      <c r="A133" s="18">
        <v>45371</v>
      </c>
      <c r="B133" s="37">
        <f t="shared" si="6"/>
        <v>-50311.111111111109</v>
      </c>
      <c r="C133" s="29">
        <v>-40000</v>
      </c>
      <c r="D133" s="29">
        <f t="shared" ref="D133" si="104">-I131*O$4*(A133-A131)/360</f>
        <v>-10311.111111111111</v>
      </c>
      <c r="E133" s="38"/>
      <c r="F133" s="39"/>
      <c r="G133" s="47"/>
      <c r="H133" s="24">
        <f t="shared" si="80"/>
        <v>598294.55115671235</v>
      </c>
      <c r="I133" s="41">
        <f t="shared" si="67"/>
        <v>600000</v>
      </c>
      <c r="J133" s="29">
        <f t="shared" si="68"/>
        <v>0</v>
      </c>
      <c r="K133" s="42">
        <f t="shared" si="81"/>
        <v>-1705.4488432877083</v>
      </c>
      <c r="L133" s="33">
        <f t="shared" si="82"/>
        <v>0</v>
      </c>
      <c r="M133" s="196">
        <f t="shared" si="74"/>
        <v>6906.9986230788727</v>
      </c>
      <c r="N133" s="29">
        <f t="shared" si="75"/>
        <v>6755.5555555555557</v>
      </c>
      <c r="O133" s="30">
        <f t="shared" si="83"/>
        <v>151.44306752331704</v>
      </c>
      <c r="P133" s="43"/>
      <c r="Q133" s="44"/>
      <c r="R133" s="33"/>
      <c r="V133" s="45"/>
      <c r="W133" s="7"/>
      <c r="X133" s="7"/>
      <c r="Y133" s="46"/>
      <c r="Z133" s="7"/>
      <c r="AA133" s="7"/>
      <c r="AC133" s="7"/>
    </row>
    <row r="134" spans="1:29">
      <c r="A134" s="18">
        <v>45382</v>
      </c>
      <c r="B134" s="37">
        <f t="shared" si="6"/>
        <v>0</v>
      </c>
      <c r="C134" s="29"/>
      <c r="D134" s="29">
        <v>0</v>
      </c>
      <c r="E134" s="38"/>
      <c r="F134" s="39"/>
      <c r="G134" s="47"/>
      <c r="H134" s="24">
        <f t="shared" si="80"/>
        <v>602353.77662833978</v>
      </c>
      <c r="I134" s="41">
        <f t="shared" si="67"/>
        <v>600000</v>
      </c>
      <c r="J134" s="29">
        <f t="shared" si="68"/>
        <v>4000</v>
      </c>
      <c r="K134" s="42">
        <f t="shared" si="81"/>
        <v>-1646.2233716602041</v>
      </c>
      <c r="L134" s="33">
        <f t="shared" si="82"/>
        <v>0</v>
      </c>
      <c r="M134" s="196">
        <f t="shared" si="76"/>
        <v>4059.2254716275042</v>
      </c>
      <c r="N134" s="29">
        <f t="shared" si="77"/>
        <v>4000</v>
      </c>
      <c r="O134" s="30">
        <f t="shared" si="83"/>
        <v>59.225471627504248</v>
      </c>
      <c r="P134" s="43"/>
      <c r="Q134" s="44"/>
      <c r="R134" s="33"/>
      <c r="V134" s="45"/>
      <c r="W134" s="7"/>
      <c r="X134" s="7"/>
      <c r="Y134" s="46"/>
      <c r="Z134" s="7">
        <f t="shared" si="78"/>
        <v>10966.224094706376</v>
      </c>
      <c r="AA134" s="7"/>
      <c r="AC134" s="7"/>
    </row>
    <row r="135" spans="1:29">
      <c r="A135" s="18">
        <v>45402</v>
      </c>
      <c r="B135" s="37">
        <f t="shared" si="6"/>
        <v>-50333.333333333336</v>
      </c>
      <c r="C135" s="29">
        <v>-40000</v>
      </c>
      <c r="D135" s="29">
        <f t="shared" ref="D135" si="105">-I133*O$4*(A135-A133)/360</f>
        <v>-10333.333333333334</v>
      </c>
      <c r="E135" s="38"/>
      <c r="F135" s="39"/>
      <c r="G135" s="47"/>
      <c r="H135" s="24">
        <f t="shared" si="80"/>
        <v>558503.94862466946</v>
      </c>
      <c r="I135" s="41">
        <f t="shared" si="67"/>
        <v>560000</v>
      </c>
      <c r="J135" s="29">
        <f t="shared" si="68"/>
        <v>0</v>
      </c>
      <c r="K135" s="42">
        <f t="shared" si="81"/>
        <v>-1496.051375330574</v>
      </c>
      <c r="L135" s="33">
        <f t="shared" si="82"/>
        <v>0</v>
      </c>
      <c r="M135" s="196">
        <f t="shared" si="74"/>
        <v>6483.505329662963</v>
      </c>
      <c r="N135" s="29">
        <f t="shared" si="75"/>
        <v>6333.333333333333</v>
      </c>
      <c r="O135" s="30">
        <f t="shared" si="83"/>
        <v>150.17199632963002</v>
      </c>
      <c r="P135" s="43"/>
      <c r="Q135" s="44"/>
      <c r="R135" s="33"/>
      <c r="V135" s="45"/>
      <c r="W135" s="7"/>
      <c r="X135" s="7"/>
      <c r="Y135" s="46"/>
      <c r="Z135" s="7"/>
      <c r="AA135" s="7"/>
      <c r="AC135" s="7"/>
    </row>
    <row r="136" spans="1:29">
      <c r="A136" s="18">
        <v>45412</v>
      </c>
      <c r="B136" s="37">
        <f t="shared" si="6"/>
        <v>0</v>
      </c>
      <c r="C136" s="29"/>
      <c r="D136" s="29">
        <v>0</v>
      </c>
      <c r="E136" s="38"/>
      <c r="F136" s="39"/>
      <c r="G136" s="47"/>
      <c r="H136" s="24">
        <f t="shared" si="80"/>
        <v>561976.45718036883</v>
      </c>
      <c r="I136" s="41">
        <f t="shared" si="67"/>
        <v>560000</v>
      </c>
      <c r="J136" s="29">
        <f t="shared" si="68"/>
        <v>3422.2222222222222</v>
      </c>
      <c r="K136" s="42">
        <f t="shared" si="81"/>
        <v>-1445.7650418534736</v>
      </c>
      <c r="L136" s="33">
        <f t="shared" si="82"/>
        <v>0</v>
      </c>
      <c r="M136" s="196">
        <f t="shared" si="76"/>
        <v>3472.5085556993226</v>
      </c>
      <c r="N136" s="29">
        <f t="shared" si="77"/>
        <v>3422.2222222222222</v>
      </c>
      <c r="O136" s="30">
        <f t="shared" si="83"/>
        <v>50.28633347710047</v>
      </c>
      <c r="P136" s="43"/>
      <c r="Q136" s="44"/>
      <c r="R136" s="33"/>
      <c r="V136" s="45"/>
      <c r="W136" s="7"/>
      <c r="X136" s="7"/>
      <c r="Y136" s="46"/>
      <c r="Z136" s="7">
        <f t="shared" si="78"/>
        <v>9956.0138853622848</v>
      </c>
      <c r="AA136" s="7"/>
      <c r="AC136" s="7"/>
    </row>
    <row r="137" spans="1:29">
      <c r="A137" s="18">
        <v>45432</v>
      </c>
      <c r="B137" s="37">
        <f t="shared" si="6"/>
        <v>-49333.333333333336</v>
      </c>
      <c r="C137" s="29">
        <v>-40000</v>
      </c>
      <c r="D137" s="29">
        <f t="shared" ref="D137" si="106">-I135*O$4*(A137-A135)/360</f>
        <v>-9333.3333333333339</v>
      </c>
      <c r="E137" s="38"/>
      <c r="F137" s="39"/>
      <c r="G137" s="47"/>
      <c r="H137" s="24">
        <f t="shared" si="80"/>
        <v>518692.0231760458</v>
      </c>
      <c r="I137" s="41">
        <f t="shared" si="67"/>
        <v>520000</v>
      </c>
      <c r="J137" s="29">
        <f t="shared" si="68"/>
        <v>0</v>
      </c>
      <c r="K137" s="42">
        <f t="shared" si="81"/>
        <v>-1307.9768239542077</v>
      </c>
      <c r="L137" s="33">
        <f t="shared" si="82"/>
        <v>0</v>
      </c>
      <c r="M137" s="196">
        <f t="shared" si="74"/>
        <v>6048.8993290103772</v>
      </c>
      <c r="N137" s="29">
        <f t="shared" si="75"/>
        <v>5911.1111111111113</v>
      </c>
      <c r="O137" s="30">
        <f t="shared" si="83"/>
        <v>137.78821789926587</v>
      </c>
      <c r="P137" s="43"/>
      <c r="Q137" s="44"/>
      <c r="R137" s="33"/>
      <c r="V137" s="45"/>
      <c r="W137" s="7"/>
      <c r="X137" s="7"/>
      <c r="Y137" s="46"/>
      <c r="Z137" s="7"/>
      <c r="AA137" s="7"/>
      <c r="AC137" s="7"/>
    </row>
    <row r="138" spans="1:29">
      <c r="A138" s="18">
        <v>45443</v>
      </c>
      <c r="B138" s="37">
        <f t="shared" si="6"/>
        <v>0</v>
      </c>
      <c r="C138" s="29"/>
      <c r="D138" s="29">
        <v>0</v>
      </c>
      <c r="E138" s="38"/>
      <c r="F138" s="39"/>
      <c r="G138" s="47"/>
      <c r="H138" s="24">
        <f t="shared" si="80"/>
        <v>522211.17251199676</v>
      </c>
      <c r="I138" s="41">
        <f t="shared" si="67"/>
        <v>520000</v>
      </c>
      <c r="J138" s="29">
        <f t="shared" si="68"/>
        <v>3466.6666666666665</v>
      </c>
      <c r="K138" s="42">
        <f t="shared" si="81"/>
        <v>-1255.4941546699361</v>
      </c>
      <c r="L138" s="33">
        <f t="shared" si="82"/>
        <v>0</v>
      </c>
      <c r="M138" s="196">
        <f t="shared" si="76"/>
        <v>3519.1493359509382</v>
      </c>
      <c r="N138" s="29">
        <f t="shared" si="77"/>
        <v>3466.6666666666665</v>
      </c>
      <c r="O138" s="30">
        <f t="shared" si="83"/>
        <v>52.482669284271651</v>
      </c>
      <c r="P138" s="43"/>
      <c r="Q138" s="44"/>
      <c r="R138" s="33"/>
      <c r="V138" s="45"/>
      <c r="W138" s="7"/>
      <c r="X138" s="7"/>
      <c r="Y138" s="46"/>
      <c r="Z138" s="7">
        <f t="shared" si="78"/>
        <v>9568.0486649613158</v>
      </c>
      <c r="AA138" s="7"/>
      <c r="AC138" s="7"/>
    </row>
    <row r="139" spans="1:29">
      <c r="A139" s="18">
        <v>45463</v>
      </c>
      <c r="B139" s="37">
        <f t="shared" si="6"/>
        <v>-48955.555555555555</v>
      </c>
      <c r="C139" s="29">
        <v>-40000</v>
      </c>
      <c r="D139" s="29">
        <f t="shared" ref="D139" si="107">-I137*O$4*(A139-A137)/360</f>
        <v>-8955.5555555555547</v>
      </c>
      <c r="E139" s="38"/>
      <c r="F139" s="39"/>
      <c r="G139" s="47"/>
      <c r="H139" s="24">
        <f t="shared" si="80"/>
        <v>478876.49799273646</v>
      </c>
      <c r="I139" s="41">
        <f t="shared" si="67"/>
        <v>480000</v>
      </c>
      <c r="J139" s="29">
        <f t="shared" si="68"/>
        <v>0</v>
      </c>
      <c r="K139" s="42">
        <f t="shared" si="81"/>
        <v>-1123.5020072635484</v>
      </c>
      <c r="L139" s="33">
        <f t="shared" si="82"/>
        <v>0</v>
      </c>
      <c r="M139" s="196">
        <f t="shared" si="74"/>
        <v>5620.8810362952763</v>
      </c>
      <c r="N139" s="29">
        <f t="shared" si="75"/>
        <v>5488.8888888888887</v>
      </c>
      <c r="O139" s="30">
        <f t="shared" si="83"/>
        <v>131.99214740638763</v>
      </c>
      <c r="P139" s="43"/>
      <c r="Q139" s="44"/>
      <c r="R139" s="33"/>
      <c r="V139" s="45"/>
      <c r="W139" s="7"/>
      <c r="X139" s="7"/>
      <c r="Y139" s="46"/>
      <c r="Z139" s="7"/>
      <c r="AA139" s="7"/>
      <c r="AC139" s="7"/>
    </row>
    <row r="140" spans="1:29">
      <c r="A140" s="18">
        <v>45473</v>
      </c>
      <c r="B140" s="37">
        <f t="shared" si="6"/>
        <v>0</v>
      </c>
      <c r="C140" s="29"/>
      <c r="D140" s="29">
        <v>0</v>
      </c>
      <c r="E140" s="38"/>
      <c r="F140" s="39"/>
      <c r="G140" s="47"/>
      <c r="H140" s="24">
        <f t="shared" si="80"/>
        <v>481853.92141203018</v>
      </c>
      <c r="I140" s="41">
        <f t="shared" si="67"/>
        <v>480000</v>
      </c>
      <c r="J140" s="29">
        <f t="shared" si="68"/>
        <v>2933.3333333333335</v>
      </c>
      <c r="K140" s="42">
        <f t="shared" si="81"/>
        <v>-1079.4119213031631</v>
      </c>
      <c r="L140" s="33">
        <f t="shared" si="82"/>
        <v>0</v>
      </c>
      <c r="M140" s="196">
        <f t="shared" si="76"/>
        <v>2977.4234192937188</v>
      </c>
      <c r="N140" s="29">
        <f t="shared" si="77"/>
        <v>2933.3333333333335</v>
      </c>
      <c r="O140" s="30">
        <f t="shared" si="83"/>
        <v>44.090085960385295</v>
      </c>
      <c r="P140" s="43"/>
      <c r="Q140" s="44"/>
      <c r="R140" s="33"/>
      <c r="V140" s="45"/>
      <c r="W140" s="7"/>
      <c r="X140" s="7"/>
      <c r="Y140" s="46"/>
      <c r="Z140" s="7">
        <f t="shared" si="78"/>
        <v>8598.3044555889956</v>
      </c>
      <c r="AA140" s="7"/>
      <c r="AC140" s="7"/>
    </row>
    <row r="141" spans="1:29">
      <c r="A141" s="18">
        <v>45493</v>
      </c>
      <c r="B141" s="37">
        <f t="shared" si="6"/>
        <v>-48000</v>
      </c>
      <c r="C141" s="29">
        <v>-40000</v>
      </c>
      <c r="D141" s="29">
        <f t="shared" ref="D141" si="108">-I139*O$4*(A141-A139)/360</f>
        <v>-8000</v>
      </c>
      <c r="E141" s="38"/>
      <c r="F141" s="39"/>
      <c r="G141" s="47"/>
      <c r="H141" s="24">
        <f t="shared" si="80"/>
        <v>439040.41245568392</v>
      </c>
      <c r="I141" s="41">
        <f t="shared" si="67"/>
        <v>440000</v>
      </c>
      <c r="J141" s="29">
        <f t="shared" si="68"/>
        <v>0</v>
      </c>
      <c r="K141" s="42">
        <f t="shared" si="81"/>
        <v>-959.58754431607895</v>
      </c>
      <c r="L141" s="33">
        <f t="shared" si="82"/>
        <v>0</v>
      </c>
      <c r="M141" s="196">
        <f t="shared" si="74"/>
        <v>5186.4910436537511</v>
      </c>
      <c r="N141" s="29">
        <f t="shared" si="75"/>
        <v>5066.666666666667</v>
      </c>
      <c r="O141" s="30">
        <f t="shared" si="83"/>
        <v>119.82437698708418</v>
      </c>
      <c r="P141" s="43"/>
      <c r="Q141" s="44"/>
      <c r="R141" s="33"/>
      <c r="V141" s="45"/>
      <c r="W141" s="7"/>
      <c r="X141" s="7"/>
      <c r="Y141" s="46"/>
      <c r="Z141" s="7"/>
      <c r="AA141" s="7"/>
      <c r="AC141" s="7"/>
    </row>
    <row r="142" spans="1:29">
      <c r="A142" s="18">
        <v>45504</v>
      </c>
      <c r="B142" s="37">
        <f t="shared" si="6"/>
        <v>0</v>
      </c>
      <c r="C142" s="29"/>
      <c r="D142" s="29">
        <v>0</v>
      </c>
      <c r="E142" s="38"/>
      <c r="F142" s="39"/>
      <c r="G142" s="47"/>
      <c r="H142" s="24">
        <f t="shared" si="80"/>
        <v>442019.15264622786</v>
      </c>
      <c r="I142" s="41">
        <f t="shared" si="67"/>
        <v>440000</v>
      </c>
      <c r="J142" s="29">
        <f t="shared" si="68"/>
        <v>2933.3333333333335</v>
      </c>
      <c r="K142" s="42">
        <f t="shared" si="81"/>
        <v>-914.18068710545367</v>
      </c>
      <c r="L142" s="33">
        <f t="shared" si="82"/>
        <v>0</v>
      </c>
      <c r="M142" s="196">
        <f t="shared" si="76"/>
        <v>2978.7401905439588</v>
      </c>
      <c r="N142" s="29">
        <f t="shared" si="77"/>
        <v>2933.3333333333335</v>
      </c>
      <c r="O142" s="30">
        <f t="shared" si="83"/>
        <v>45.406857210625276</v>
      </c>
      <c r="P142" s="43"/>
      <c r="Q142" s="44"/>
      <c r="R142" s="33"/>
      <c r="V142" s="45"/>
      <c r="W142" s="7"/>
      <c r="X142" s="7"/>
      <c r="Y142" s="46"/>
      <c r="Z142" s="7">
        <f t="shared" si="78"/>
        <v>8165.2312341977104</v>
      </c>
      <c r="AA142" s="7"/>
      <c r="AC142" s="7"/>
    </row>
    <row r="143" spans="1:29">
      <c r="A143" s="18">
        <v>45524</v>
      </c>
      <c r="B143" s="37">
        <f t="shared" si="6"/>
        <v>-47577.777777777781</v>
      </c>
      <c r="C143" s="29">
        <v>-40000</v>
      </c>
      <c r="D143" s="29">
        <f t="shared" ref="D143" si="109">-I141*O$4*(A143-A141)/360</f>
        <v>-7577.7777777777774</v>
      </c>
      <c r="E143" s="38"/>
      <c r="F143" s="39"/>
      <c r="G143" s="47"/>
      <c r="H143" s="24">
        <f t="shared" si="80"/>
        <v>399199.0997191788</v>
      </c>
      <c r="I143" s="41">
        <f t="shared" ref="I143:I163" si="110">I142+C143</f>
        <v>400000</v>
      </c>
      <c r="J143" s="29">
        <f t="shared" si="68"/>
        <v>0</v>
      </c>
      <c r="K143" s="42">
        <f t="shared" si="81"/>
        <v>-800.90028082121671</v>
      </c>
      <c r="L143" s="33">
        <f t="shared" si="82"/>
        <v>0</v>
      </c>
      <c r="M143" s="196">
        <f t="shared" si="74"/>
        <v>4757.7248507286813</v>
      </c>
      <c r="N143" s="29">
        <f t="shared" si="75"/>
        <v>4644.4444444444443</v>
      </c>
      <c r="O143" s="30">
        <f t="shared" si="83"/>
        <v>113.28040628423696</v>
      </c>
      <c r="P143" s="43"/>
      <c r="Q143" s="44"/>
      <c r="R143" s="33"/>
      <c r="V143" s="45"/>
      <c r="W143" s="7"/>
      <c r="X143" s="7"/>
      <c r="Y143" s="46"/>
      <c r="Z143" s="7"/>
      <c r="AA143" s="7"/>
      <c r="AC143" s="7"/>
    </row>
    <row r="144" spans="1:29">
      <c r="A144" s="18">
        <v>45535</v>
      </c>
      <c r="B144" s="37">
        <f t="shared" si="6"/>
        <v>0</v>
      </c>
      <c r="C144" s="29"/>
      <c r="D144" s="29">
        <v>0</v>
      </c>
      <c r="E144" s="38"/>
      <c r="F144" s="39"/>
      <c r="G144" s="47"/>
      <c r="H144" s="24">
        <f t="shared" si="80"/>
        <v>401907.53012473404</v>
      </c>
      <c r="I144" s="41">
        <f t="shared" si="110"/>
        <v>400000</v>
      </c>
      <c r="J144" s="29">
        <f t="shared" ref="J144:J163" si="111">J143+N144+D144</f>
        <v>2666.6666666666665</v>
      </c>
      <c r="K144" s="42">
        <f t="shared" si="81"/>
        <v>-759.13654193265302</v>
      </c>
      <c r="L144" s="33">
        <f t="shared" si="82"/>
        <v>0</v>
      </c>
      <c r="M144" s="196">
        <f t="shared" si="76"/>
        <v>2708.4304055552302</v>
      </c>
      <c r="N144" s="29">
        <f t="shared" si="77"/>
        <v>2666.6666666666665</v>
      </c>
      <c r="O144" s="30">
        <f t="shared" si="83"/>
        <v>41.763738888563694</v>
      </c>
      <c r="P144" s="43"/>
      <c r="Q144" s="44"/>
      <c r="R144" s="33"/>
      <c r="V144" s="45"/>
      <c r="W144" s="7"/>
      <c r="X144" s="7"/>
      <c r="Y144" s="46"/>
      <c r="Z144" s="7">
        <f t="shared" si="78"/>
        <v>7466.1552562839115</v>
      </c>
      <c r="AA144" s="7"/>
      <c r="AC144" s="7"/>
    </row>
    <row r="145" spans="1:29">
      <c r="A145" s="18">
        <v>45555</v>
      </c>
      <c r="B145" s="37">
        <f t="shared" si="6"/>
        <v>-46888.888888888891</v>
      </c>
      <c r="C145" s="29">
        <v>-40000</v>
      </c>
      <c r="D145" s="29">
        <f t="shared" ref="D145" si="112">-I143*O$4*(A145-A143)/360</f>
        <v>-6888.8888888888887</v>
      </c>
      <c r="E145" s="38"/>
      <c r="F145" s="39"/>
      <c r="G145" s="47"/>
      <c r="H145" s="24">
        <f t="shared" si="80"/>
        <v>359344.61994586687</v>
      </c>
      <c r="I145" s="41">
        <f t="shared" si="110"/>
        <v>360000</v>
      </c>
      <c r="J145" s="29">
        <f t="shared" si="111"/>
        <v>0</v>
      </c>
      <c r="K145" s="42">
        <f t="shared" si="81"/>
        <v>-655.38005413313203</v>
      </c>
      <c r="L145" s="33">
        <f t="shared" si="82"/>
        <v>0</v>
      </c>
      <c r="M145" s="196">
        <f t="shared" si="74"/>
        <v>4325.9787100217436</v>
      </c>
      <c r="N145" s="29">
        <f t="shared" si="75"/>
        <v>4222.2222222222226</v>
      </c>
      <c r="O145" s="30">
        <f t="shared" si="83"/>
        <v>103.75648779952098</v>
      </c>
      <c r="P145" s="43"/>
      <c r="Q145" s="44"/>
      <c r="R145" s="33"/>
      <c r="V145" s="45"/>
      <c r="W145" s="7"/>
      <c r="X145" s="7"/>
      <c r="Y145" s="46"/>
      <c r="Z145" s="7"/>
      <c r="AA145" s="7"/>
      <c r="AC145" s="7"/>
    </row>
    <row r="146" spans="1:29">
      <c r="A146" s="18">
        <v>45565</v>
      </c>
      <c r="B146" s="37">
        <f t="shared" si="6"/>
        <v>0</v>
      </c>
      <c r="C146" s="29"/>
      <c r="D146" s="29">
        <v>0</v>
      </c>
      <c r="E146" s="38"/>
      <c r="F146" s="39"/>
      <c r="G146" s="47"/>
      <c r="H146" s="24">
        <f t="shared" si="80"/>
        <v>361578.8517185864</v>
      </c>
      <c r="I146" s="41">
        <f t="shared" si="110"/>
        <v>360000</v>
      </c>
      <c r="J146" s="29">
        <f t="shared" si="111"/>
        <v>2200</v>
      </c>
      <c r="K146" s="42">
        <f t="shared" si="81"/>
        <v>-621.14828141361704</v>
      </c>
      <c r="L146" s="33">
        <f t="shared" si="82"/>
        <v>0</v>
      </c>
      <c r="M146" s="196">
        <f t="shared" si="76"/>
        <v>2234.231772719515</v>
      </c>
      <c r="N146" s="29">
        <f t="shared" si="77"/>
        <v>2200</v>
      </c>
      <c r="O146" s="30">
        <f t="shared" si="83"/>
        <v>34.231772719514993</v>
      </c>
      <c r="P146" s="43"/>
      <c r="Q146" s="44"/>
      <c r="R146" s="33"/>
      <c r="V146" s="45"/>
      <c r="W146" s="7"/>
      <c r="X146" s="7"/>
      <c r="Y146" s="46"/>
      <c r="Z146" s="7">
        <f t="shared" si="78"/>
        <v>6560.2104827412586</v>
      </c>
      <c r="AA146" s="7"/>
      <c r="AC146" s="7"/>
    </row>
    <row r="147" spans="1:29">
      <c r="A147" s="18">
        <v>45585</v>
      </c>
      <c r="B147" s="37">
        <f t="shared" si="6"/>
        <v>-46000</v>
      </c>
      <c r="C147" s="29">
        <v>-40000</v>
      </c>
      <c r="D147" s="29">
        <f t="shared" ref="D147" si="113">-I145*O$4*(A147-A145)/360</f>
        <v>-6000</v>
      </c>
      <c r="E147" s="38"/>
      <c r="F147" s="39"/>
      <c r="G147" s="47"/>
      <c r="H147" s="24">
        <f t="shared" si="80"/>
        <v>319470.74798149854</v>
      </c>
      <c r="I147" s="41">
        <f t="shared" si="110"/>
        <v>320000</v>
      </c>
      <c r="J147" s="29">
        <f t="shared" si="111"/>
        <v>0</v>
      </c>
      <c r="K147" s="42">
        <f t="shared" si="81"/>
        <v>-529.25201850144458</v>
      </c>
      <c r="L147" s="33">
        <f t="shared" si="82"/>
        <v>0</v>
      </c>
      <c r="M147" s="196">
        <f t="shared" si="74"/>
        <v>3891.8962629121725</v>
      </c>
      <c r="N147" s="29">
        <f t="shared" si="75"/>
        <v>3800</v>
      </c>
      <c r="O147" s="30">
        <f t="shared" si="83"/>
        <v>91.89626291217246</v>
      </c>
      <c r="P147" s="43"/>
      <c r="Q147" s="44"/>
      <c r="R147" s="33"/>
      <c r="V147" s="45"/>
      <c r="W147" s="7"/>
      <c r="X147" s="7"/>
      <c r="Y147" s="46"/>
      <c r="Z147" s="7"/>
      <c r="AA147" s="7"/>
      <c r="AC147" s="7"/>
    </row>
    <row r="148" spans="1:29">
      <c r="A148" s="18">
        <v>45596</v>
      </c>
      <c r="B148" s="37">
        <f t="shared" si="6"/>
        <v>0</v>
      </c>
      <c r="C148" s="29"/>
      <c r="D148" s="29">
        <v>0</v>
      </c>
      <c r="E148" s="38"/>
      <c r="F148" s="39"/>
      <c r="G148" s="47"/>
      <c r="H148" s="24">
        <f t="shared" si="80"/>
        <v>321638.24857988977</v>
      </c>
      <c r="I148" s="41">
        <f t="shared" si="110"/>
        <v>320000</v>
      </c>
      <c r="J148" s="29">
        <f t="shared" si="111"/>
        <v>2133.3333333333335</v>
      </c>
      <c r="K148" s="42">
        <f t="shared" si="81"/>
        <v>-495.08475344354201</v>
      </c>
      <c r="L148" s="33">
        <f t="shared" si="82"/>
        <v>0</v>
      </c>
      <c r="M148" s="196">
        <f t="shared" si="76"/>
        <v>2167.5005983912361</v>
      </c>
      <c r="N148" s="29">
        <f t="shared" si="77"/>
        <v>2133.3333333333335</v>
      </c>
      <c r="O148" s="30">
        <f t="shared" si="83"/>
        <v>34.167265057902569</v>
      </c>
      <c r="P148" s="43"/>
      <c r="Q148" s="44"/>
      <c r="R148" s="33"/>
      <c r="V148" s="45"/>
      <c r="W148" s="7"/>
      <c r="X148" s="7"/>
      <c r="Y148" s="46"/>
      <c r="Z148" s="7">
        <f t="shared" si="78"/>
        <v>6059.3968613034085</v>
      </c>
      <c r="AA148" s="7"/>
      <c r="AC148" s="7"/>
    </row>
    <row r="149" spans="1:29">
      <c r="A149" s="18">
        <v>45616</v>
      </c>
      <c r="B149" s="37">
        <f t="shared" si="6"/>
        <v>-45511.111111111109</v>
      </c>
      <c r="C149" s="29">
        <v>-40000</v>
      </c>
      <c r="D149" s="29">
        <f t="shared" ref="D149" si="114">-I147*O$4*(A149-A147)/360</f>
        <v>-5511.1111111111113</v>
      </c>
      <c r="E149" s="38"/>
      <c r="F149" s="39"/>
      <c r="G149" s="47"/>
      <c r="H149" s="24">
        <f t="shared" si="80"/>
        <v>279589.12837811408</v>
      </c>
      <c r="I149" s="41">
        <f t="shared" si="110"/>
        <v>280000</v>
      </c>
      <c r="J149" s="29">
        <f t="shared" si="111"/>
        <v>0</v>
      </c>
      <c r="K149" s="42">
        <f t="shared" si="81"/>
        <v>-410.87162188589036</v>
      </c>
      <c r="L149" s="33">
        <f t="shared" si="82"/>
        <v>0</v>
      </c>
      <c r="M149" s="196">
        <f t="shared" si="74"/>
        <v>3461.9909093354295</v>
      </c>
      <c r="N149" s="29">
        <f t="shared" si="75"/>
        <v>3377.7777777777778</v>
      </c>
      <c r="O149" s="30">
        <f t="shared" si="83"/>
        <v>84.21313155765165</v>
      </c>
      <c r="P149" s="43"/>
      <c r="Q149" s="44"/>
      <c r="R149" s="33"/>
      <c r="V149" s="45"/>
      <c r="W149" s="7"/>
      <c r="X149" s="7"/>
      <c r="Y149" s="46"/>
      <c r="Z149" s="7"/>
      <c r="AA149" s="7"/>
      <c r="AC149" s="7"/>
    </row>
    <row r="150" spans="1:29">
      <c r="A150" s="18">
        <v>45626</v>
      </c>
      <c r="B150" s="37">
        <f t="shared" si="6"/>
        <v>0</v>
      </c>
      <c r="C150" s="29"/>
      <c r="D150" s="29">
        <v>0</v>
      </c>
      <c r="E150" s="38"/>
      <c r="F150" s="39"/>
      <c r="G150" s="47"/>
      <c r="H150" s="24">
        <f t="shared" si="80"/>
        <v>281327.4789175585</v>
      </c>
      <c r="I150" s="41">
        <f t="shared" si="110"/>
        <v>280000</v>
      </c>
      <c r="J150" s="29">
        <f t="shared" si="111"/>
        <v>1711.1111111111111</v>
      </c>
      <c r="K150" s="42">
        <f t="shared" si="81"/>
        <v>-383.6321935526089</v>
      </c>
      <c r="L150" s="33">
        <f t="shared" si="82"/>
        <v>0</v>
      </c>
      <c r="M150" s="196">
        <f t="shared" si="76"/>
        <v>1738.3505394443926</v>
      </c>
      <c r="N150" s="29">
        <f t="shared" si="77"/>
        <v>1711.1111111111111</v>
      </c>
      <c r="O150" s="30">
        <f t="shared" si="83"/>
        <v>27.239428333281467</v>
      </c>
      <c r="P150" s="43"/>
      <c r="Q150" s="44"/>
      <c r="R150" s="33"/>
      <c r="V150" s="45"/>
      <c r="W150" s="7"/>
      <c r="X150" s="7"/>
      <c r="Y150" s="46"/>
      <c r="Z150" s="7">
        <f t="shared" si="78"/>
        <v>5200.3414487798218</v>
      </c>
      <c r="AA150" s="7"/>
      <c r="AC150" s="7"/>
    </row>
    <row r="151" spans="1:29">
      <c r="A151" s="18">
        <v>45646</v>
      </c>
      <c r="B151" s="37">
        <f t="shared" si="6"/>
        <v>-44666.666666666664</v>
      </c>
      <c r="C151" s="29">
        <v>-40000</v>
      </c>
      <c r="D151" s="29">
        <f t="shared" ref="D151" si="115">-I149*O$4*(A151-A149)/360</f>
        <v>-4666.666666666667</v>
      </c>
      <c r="E151" s="38"/>
      <c r="F151" s="39"/>
      <c r="G151" s="47"/>
      <c r="H151" s="24">
        <f t="shared" si="80"/>
        <v>239688.91347597647</v>
      </c>
      <c r="I151" s="41">
        <f t="shared" si="110"/>
        <v>240000</v>
      </c>
      <c r="J151" s="29">
        <f t="shared" si="111"/>
        <v>0</v>
      </c>
      <c r="K151" s="42">
        <f t="shared" si="81"/>
        <v>-311.08652402352436</v>
      </c>
      <c r="L151" s="33">
        <f t="shared" si="82"/>
        <v>0</v>
      </c>
      <c r="M151" s="196">
        <f t="shared" si="74"/>
        <v>3028.1012250846402</v>
      </c>
      <c r="N151" s="29">
        <f t="shared" si="75"/>
        <v>2955.5555555555557</v>
      </c>
      <c r="O151" s="30">
        <f t="shared" si="83"/>
        <v>72.545669529084535</v>
      </c>
      <c r="P151" s="43"/>
      <c r="Q151" s="44"/>
      <c r="R151" s="33"/>
      <c r="V151" s="45"/>
      <c r="W151" s="7"/>
      <c r="X151" s="7"/>
      <c r="Y151" s="46"/>
      <c r="Z151" s="7"/>
      <c r="AA151" s="7"/>
      <c r="AC151" s="7"/>
    </row>
    <row r="152" spans="1:29">
      <c r="A152" s="18">
        <v>45657</v>
      </c>
      <c r="B152" s="37">
        <f t="shared" si="6"/>
        <v>0</v>
      </c>
      <c r="C152" s="29"/>
      <c r="D152" s="29">
        <v>0</v>
      </c>
      <c r="E152" s="38"/>
      <c r="F152" s="39"/>
      <c r="G152" s="47"/>
      <c r="H152" s="24">
        <f t="shared" si="80"/>
        <v>241315.12140477568</v>
      </c>
      <c r="I152" s="41">
        <f t="shared" si="110"/>
        <v>240000</v>
      </c>
      <c r="J152" s="29">
        <f t="shared" si="111"/>
        <v>1600</v>
      </c>
      <c r="K152" s="42">
        <f t="shared" si="81"/>
        <v>-284.87859522432359</v>
      </c>
      <c r="L152" s="33">
        <f t="shared" si="82"/>
        <v>0</v>
      </c>
      <c r="M152" s="196">
        <f t="shared" si="76"/>
        <v>1626.2079287992008</v>
      </c>
      <c r="N152" s="29">
        <f t="shared" si="77"/>
        <v>1600</v>
      </c>
      <c r="O152" s="30">
        <f t="shared" si="83"/>
        <v>26.207928799200772</v>
      </c>
      <c r="P152" s="43"/>
      <c r="Q152" s="44"/>
      <c r="R152" s="33"/>
      <c r="V152" s="45"/>
      <c r="W152" s="7"/>
      <c r="X152" s="7"/>
      <c r="Y152" s="46"/>
      <c r="Z152" s="7">
        <f t="shared" si="78"/>
        <v>4654.3091538838407</v>
      </c>
      <c r="AA152" s="7"/>
      <c r="AC152" s="7"/>
    </row>
    <row r="153" spans="1:29">
      <c r="A153" s="18">
        <v>45677</v>
      </c>
      <c r="B153" s="37">
        <f t="shared" si="6"/>
        <v>-44133.333333333336</v>
      </c>
      <c r="C153" s="29">
        <v>-40000</v>
      </c>
      <c r="D153" s="29">
        <f t="shared" ref="D153" si="116">-I151*O$4*(A153-A151)/360</f>
        <v>-4133.333333333333</v>
      </c>
      <c r="E153" s="38"/>
      <c r="F153" s="39"/>
      <c r="G153" s="47"/>
      <c r="H153" s="24">
        <f t="shared" si="80"/>
        <v>199779.21160635195</v>
      </c>
      <c r="I153" s="41">
        <f t="shared" si="110"/>
        <v>200000</v>
      </c>
      <c r="J153" s="29">
        <f t="shared" si="111"/>
        <v>0</v>
      </c>
      <c r="K153" s="42">
        <f t="shared" si="81"/>
        <v>-220.78839364806004</v>
      </c>
      <c r="L153" s="33">
        <f t="shared" si="82"/>
        <v>0</v>
      </c>
      <c r="M153" s="196">
        <f t="shared" ref="M153:M161" si="117">H152*((100%+$O$8)^(A153-A152-1)-100%)</f>
        <v>2597.423534909597</v>
      </c>
      <c r="N153" s="29">
        <f t="shared" ref="N153:N162" si="118">I152*O$4*(A153-A152-1)/360</f>
        <v>2533.3333333333335</v>
      </c>
      <c r="O153" s="30">
        <f t="shared" si="83"/>
        <v>64.090201576263553</v>
      </c>
      <c r="P153" s="43"/>
      <c r="Q153" s="44"/>
      <c r="R153" s="33"/>
      <c r="V153" s="45"/>
      <c r="W153" s="7"/>
      <c r="X153" s="7"/>
      <c r="Y153" s="46"/>
      <c r="Z153" s="7"/>
      <c r="AA153" s="7"/>
      <c r="AC153" s="7"/>
    </row>
    <row r="154" spans="1:29">
      <c r="A154" s="18">
        <v>45688</v>
      </c>
      <c r="B154" s="37">
        <f t="shared" si="6"/>
        <v>0</v>
      </c>
      <c r="C154" s="29"/>
      <c r="D154" s="29">
        <v>0</v>
      </c>
      <c r="E154" s="38"/>
      <c r="F154" s="39"/>
      <c r="G154" s="47"/>
      <c r="H154" s="24">
        <f t="shared" si="80"/>
        <v>201134.64575310511</v>
      </c>
      <c r="I154" s="41">
        <f t="shared" si="110"/>
        <v>200000</v>
      </c>
      <c r="J154" s="29">
        <f t="shared" si="111"/>
        <v>1333.3333333333333</v>
      </c>
      <c r="K154" s="42">
        <f t="shared" si="81"/>
        <v>-198.68758022823044</v>
      </c>
      <c r="L154" s="33">
        <f t="shared" si="82"/>
        <v>0</v>
      </c>
      <c r="M154" s="196">
        <f t="shared" ref="M154:M162" si="119">H153*((100%+$O$8)^(A154-A153+1)-100%)</f>
        <v>1355.4341467531628</v>
      </c>
      <c r="N154" s="29">
        <f t="shared" ref="N154:N162" si="120">I153*O$4*(A154-A153+1)/360</f>
        <v>1333.3333333333333</v>
      </c>
      <c r="O154" s="30">
        <f t="shared" si="83"/>
        <v>22.100813419829592</v>
      </c>
      <c r="P154" s="43"/>
      <c r="Q154" s="44"/>
      <c r="R154" s="33"/>
      <c r="V154" s="45"/>
      <c r="W154" s="7"/>
      <c r="X154" s="7"/>
      <c r="Y154" s="46"/>
      <c r="Z154" s="7">
        <f t="shared" ref="Z154:Z162" si="121">M154+M153</f>
        <v>3952.8576816627601</v>
      </c>
      <c r="AA154" s="7"/>
      <c r="AC154" s="7"/>
    </row>
    <row r="155" spans="1:29">
      <c r="A155" s="18">
        <v>45708</v>
      </c>
      <c r="B155" s="37">
        <f t="shared" si="6"/>
        <v>-43444.444444444445</v>
      </c>
      <c r="C155" s="29">
        <v>-40000</v>
      </c>
      <c r="D155" s="29">
        <f t="shared" ref="D155" si="122">-I153*O$4*(A155-A153)/360</f>
        <v>-3444.4444444444443</v>
      </c>
      <c r="E155" s="38"/>
      <c r="F155" s="39"/>
      <c r="G155" s="47"/>
      <c r="H155" s="24">
        <f t="shared" si="80"/>
        <v>159855.13759414319</v>
      </c>
      <c r="I155" s="41">
        <f t="shared" si="110"/>
        <v>160000</v>
      </c>
      <c r="J155" s="29">
        <f t="shared" si="111"/>
        <v>0</v>
      </c>
      <c r="K155" s="42">
        <f t="shared" si="81"/>
        <v>-144.86240585681594</v>
      </c>
      <c r="L155" s="33">
        <f t="shared" si="82"/>
        <v>0</v>
      </c>
      <c r="M155" s="196">
        <f t="shared" si="117"/>
        <v>2164.9362854825258</v>
      </c>
      <c r="N155" s="29">
        <f t="shared" si="118"/>
        <v>2111.1111111111113</v>
      </c>
      <c r="O155" s="30">
        <f t="shared" si="83"/>
        <v>53.825174371414505</v>
      </c>
      <c r="P155" s="43"/>
      <c r="Q155" s="44"/>
      <c r="R155" s="33"/>
      <c r="V155" s="45"/>
      <c r="W155" s="7"/>
      <c r="X155" s="7"/>
      <c r="Y155" s="46"/>
      <c r="Z155" s="7"/>
      <c r="AA155" s="7"/>
      <c r="AC155" s="7"/>
    </row>
    <row r="156" spans="1:29">
      <c r="A156" s="18">
        <v>45716</v>
      </c>
      <c r="B156" s="37">
        <f t="shared" si="6"/>
        <v>0</v>
      </c>
      <c r="C156" s="29"/>
      <c r="D156" s="29">
        <v>0</v>
      </c>
      <c r="E156" s="38"/>
      <c r="F156" s="39"/>
      <c r="G156" s="47"/>
      <c r="H156" s="24">
        <f t="shared" ref="H156:H163" si="123">I156+J156+K156</f>
        <v>160667.87182870047</v>
      </c>
      <c r="I156" s="41">
        <f t="shared" si="110"/>
        <v>160000</v>
      </c>
      <c r="J156" s="29">
        <f t="shared" si="111"/>
        <v>800</v>
      </c>
      <c r="K156" s="42">
        <f t="shared" ref="K156:K163" si="124">K155+O156</f>
        <v>-132.12817129951986</v>
      </c>
      <c r="L156" s="33">
        <f t="shared" ref="L156:L163" si="125">P156</f>
        <v>0</v>
      </c>
      <c r="M156" s="196">
        <f t="shared" si="119"/>
        <v>812.73423455729608</v>
      </c>
      <c r="N156" s="29">
        <f t="shared" si="120"/>
        <v>800</v>
      </c>
      <c r="O156" s="30">
        <f t="shared" ref="O156:O162" si="126">M156-N156</f>
        <v>12.734234557296077</v>
      </c>
      <c r="P156" s="43"/>
      <c r="Q156" s="44"/>
      <c r="R156" s="33"/>
      <c r="V156" s="45"/>
      <c r="W156" s="7"/>
      <c r="X156" s="7"/>
      <c r="Y156" s="46"/>
      <c r="Z156" s="7">
        <f t="shared" si="121"/>
        <v>2977.6705200398219</v>
      </c>
      <c r="AA156" s="7"/>
      <c r="AC156" s="7"/>
    </row>
    <row r="157" spans="1:29">
      <c r="A157" s="18">
        <v>45736</v>
      </c>
      <c r="B157" s="37">
        <f t="shared" si="6"/>
        <v>-42488.888888888891</v>
      </c>
      <c r="C157" s="29">
        <v>-40000</v>
      </c>
      <c r="D157" s="29">
        <f t="shared" ref="D157" si="127">-I155*O$4*(A157-A155)/360</f>
        <v>-2488.8888888888887</v>
      </c>
      <c r="E157" s="38"/>
      <c r="F157" s="39"/>
      <c r="G157" s="47"/>
      <c r="H157" s="24">
        <f t="shared" si="123"/>
        <v>119908.3503709213</v>
      </c>
      <c r="I157" s="41">
        <f t="shared" si="110"/>
        <v>120000</v>
      </c>
      <c r="J157" s="29">
        <f t="shared" si="111"/>
        <v>0</v>
      </c>
      <c r="K157" s="42">
        <f t="shared" si="124"/>
        <v>-91.649629078696535</v>
      </c>
      <c r="L157" s="33">
        <f t="shared" si="125"/>
        <v>0</v>
      </c>
      <c r="M157" s="196">
        <f t="shared" si="117"/>
        <v>1729.3674311097122</v>
      </c>
      <c r="N157" s="29">
        <f t="shared" si="118"/>
        <v>1688.8888888888889</v>
      </c>
      <c r="O157" s="30">
        <f t="shared" si="126"/>
        <v>40.478542220823329</v>
      </c>
      <c r="P157" s="43"/>
      <c r="Q157" s="44"/>
      <c r="R157" s="33"/>
      <c r="V157" s="45"/>
      <c r="W157" s="7"/>
      <c r="X157" s="7"/>
      <c r="Y157" s="46"/>
      <c r="Z157" s="7"/>
      <c r="AA157" s="7"/>
      <c r="AC157" s="7"/>
    </row>
    <row r="158" spans="1:29">
      <c r="A158" s="18">
        <v>45747</v>
      </c>
      <c r="B158" s="37">
        <f t="shared" si="6"/>
        <v>0</v>
      </c>
      <c r="C158" s="29"/>
      <c r="D158" s="29">
        <v>0</v>
      </c>
      <c r="E158" s="38"/>
      <c r="F158" s="39"/>
      <c r="G158" s="47"/>
      <c r="H158" s="24">
        <f t="shared" si="123"/>
        <v>120721.88783193519</v>
      </c>
      <c r="I158" s="41">
        <f t="shared" si="110"/>
        <v>120000</v>
      </c>
      <c r="J158" s="29">
        <f t="shared" si="111"/>
        <v>800</v>
      </c>
      <c r="K158" s="42">
        <f t="shared" si="124"/>
        <v>-78.112168064802631</v>
      </c>
      <c r="L158" s="33">
        <f t="shared" si="125"/>
        <v>0</v>
      </c>
      <c r="M158" s="196">
        <f t="shared" si="119"/>
        <v>813.5374610138939</v>
      </c>
      <c r="N158" s="29">
        <f t="shared" si="120"/>
        <v>800</v>
      </c>
      <c r="O158" s="30">
        <f t="shared" si="126"/>
        <v>13.537461013893903</v>
      </c>
      <c r="P158" s="43">
        <v>0</v>
      </c>
      <c r="Q158" s="44">
        <f>M158/H26</f>
        <v>2.9556214997235075E-4</v>
      </c>
      <c r="R158" s="33"/>
      <c r="S158" s="2">
        <f>N27+N158-D158</f>
        <v>29933.333333333332</v>
      </c>
      <c r="T158" s="7">
        <f>O158+O27</f>
        <v>507.15608577488877</v>
      </c>
      <c r="U158" s="7">
        <f>M27+M158</f>
        <v>30440.48941910822</v>
      </c>
      <c r="V158" s="45" t="e">
        <f>N158-#REF!</f>
        <v>#REF!</v>
      </c>
      <c r="W158" s="7" t="e">
        <f>J158-#REF!</f>
        <v>#REF!</v>
      </c>
      <c r="X158" s="7"/>
      <c r="Z158" s="7">
        <f t="shared" si="121"/>
        <v>2542.9048921236063</v>
      </c>
      <c r="AA158" s="7"/>
      <c r="AC158" s="7"/>
    </row>
    <row r="159" spans="1:29">
      <c r="A159" s="18">
        <v>45767</v>
      </c>
      <c r="B159" s="37">
        <f t="shared" si="6"/>
        <v>-42066.666666666664</v>
      </c>
      <c r="C159" s="29">
        <v>-40000</v>
      </c>
      <c r="D159" s="29">
        <f t="shared" ref="D159" si="128">-I157*O$4*(A159-A157)/360</f>
        <v>-2066.6666666666665</v>
      </c>
      <c r="E159" s="38"/>
      <c r="F159" s="39"/>
      <c r="G159" s="47"/>
      <c r="H159" s="24">
        <f t="shared" si="123"/>
        <v>79954.625325306304</v>
      </c>
      <c r="I159" s="41">
        <f t="shared" si="110"/>
        <v>80000</v>
      </c>
      <c r="J159" s="29">
        <f t="shared" si="111"/>
        <v>0</v>
      </c>
      <c r="K159" s="42">
        <f t="shared" si="124"/>
        <v>-45.374674693699603</v>
      </c>
      <c r="L159" s="33">
        <f t="shared" si="125"/>
        <v>0</v>
      </c>
      <c r="M159" s="196">
        <f t="shared" si="117"/>
        <v>1299.4041600377698</v>
      </c>
      <c r="N159" s="29">
        <f t="shared" si="118"/>
        <v>1266.6666666666667</v>
      </c>
      <c r="O159" s="30">
        <f t="shared" si="126"/>
        <v>32.737493371103028</v>
      </c>
      <c r="P159" s="43">
        <v>0</v>
      </c>
      <c r="Q159" s="44"/>
      <c r="R159" s="33"/>
      <c r="V159" s="45" t="e">
        <f>N159-#REF!</f>
        <v>#REF!</v>
      </c>
      <c r="W159" s="7" t="e">
        <f>J159-#REF!</f>
        <v>#REF!</v>
      </c>
      <c r="X159" s="7">
        <f>ROUND((O158+O159),2)</f>
        <v>46.27</v>
      </c>
      <c r="Y159" s="46" t="s">
        <v>28</v>
      </c>
      <c r="Z159" s="7"/>
      <c r="AA159" s="7"/>
      <c r="AC159" s="7"/>
    </row>
    <row r="160" spans="1:29">
      <c r="A160" s="18">
        <v>45777</v>
      </c>
      <c r="B160" s="37">
        <f t="shared" si="6"/>
        <v>0</v>
      </c>
      <c r="C160" s="29"/>
      <c r="D160" s="29">
        <v>0</v>
      </c>
      <c r="E160" s="38"/>
      <c r="F160" s="39"/>
      <c r="G160" s="47"/>
      <c r="H160" s="24">
        <f t="shared" si="123"/>
        <v>80451.744676375456</v>
      </c>
      <c r="I160" s="41">
        <f t="shared" si="110"/>
        <v>80000</v>
      </c>
      <c r="J160" s="29">
        <f t="shared" si="111"/>
        <v>488.88888888888891</v>
      </c>
      <c r="K160" s="42">
        <f t="shared" si="124"/>
        <v>-37.144212513427249</v>
      </c>
      <c r="L160" s="33">
        <f t="shared" si="125"/>
        <v>0</v>
      </c>
      <c r="M160" s="196">
        <f t="shared" si="119"/>
        <v>497.11935106916127</v>
      </c>
      <c r="N160" s="29">
        <f t="shared" si="120"/>
        <v>488.88888888888891</v>
      </c>
      <c r="O160" s="30">
        <f t="shared" si="126"/>
        <v>8.2304621802723545</v>
      </c>
      <c r="P160" s="43">
        <v>0</v>
      </c>
      <c r="Q160" s="44">
        <f>M160/H158</f>
        <v>4.1178891417042243E-3</v>
      </c>
      <c r="R160" s="33"/>
      <c r="S160" s="2">
        <f>N159+N160-D160</f>
        <v>1755.5555555555557</v>
      </c>
      <c r="T160" s="7">
        <f>O160+O159</f>
        <v>40.967955551375383</v>
      </c>
      <c r="U160" s="7">
        <f>M159+M160</f>
        <v>1796.523511106931</v>
      </c>
      <c r="V160" s="45" t="e">
        <f>N160-#REF!</f>
        <v>#REF!</v>
      </c>
      <c r="W160" s="7" t="e">
        <f>J160-#REF!</f>
        <v>#REF!</v>
      </c>
      <c r="X160" s="7"/>
      <c r="Z160" s="7">
        <f t="shared" si="121"/>
        <v>1796.523511106931</v>
      </c>
      <c r="AA160" s="7"/>
      <c r="AC160" s="7"/>
    </row>
    <row r="161" spans="1:29">
      <c r="A161" s="18">
        <v>45797</v>
      </c>
      <c r="B161" s="37">
        <f t="shared" si="6"/>
        <v>-41333.333333333336</v>
      </c>
      <c r="C161" s="29">
        <v>-40000</v>
      </c>
      <c r="D161" s="29">
        <f t="shared" ref="D161" si="129">-I159*O$4*(A161-A159)/360</f>
        <v>-1333.3333333333333</v>
      </c>
      <c r="E161" s="38"/>
      <c r="F161" s="39"/>
      <c r="G161" s="47"/>
      <c r="H161" s="24">
        <f t="shared" si="123"/>
        <v>39984.363106986668</v>
      </c>
      <c r="I161" s="41">
        <f t="shared" si="110"/>
        <v>40000</v>
      </c>
      <c r="J161" s="29">
        <f t="shared" si="111"/>
        <v>0</v>
      </c>
      <c r="K161" s="42">
        <f t="shared" si="124"/>
        <v>-15.636893013335168</v>
      </c>
      <c r="L161" s="33">
        <f t="shared" si="125"/>
        <v>0</v>
      </c>
      <c r="M161" s="196">
        <f t="shared" si="117"/>
        <v>865.95176394453654</v>
      </c>
      <c r="N161" s="29">
        <f t="shared" si="118"/>
        <v>844.44444444444446</v>
      </c>
      <c r="O161" s="30">
        <f t="shared" si="126"/>
        <v>21.50731950009208</v>
      </c>
      <c r="P161" s="43">
        <v>0</v>
      </c>
      <c r="Q161" s="44"/>
      <c r="R161" s="33"/>
      <c r="V161" s="45" t="e">
        <f>N161-#REF!</f>
        <v>#REF!</v>
      </c>
      <c r="W161" s="7" t="e">
        <f>J161-#REF!</f>
        <v>#REF!</v>
      </c>
      <c r="X161" s="7">
        <f>ROUND((O160+O161),2)</f>
        <v>29.74</v>
      </c>
      <c r="Y161" s="46" t="s">
        <v>28</v>
      </c>
      <c r="Z161" s="7"/>
      <c r="AA161" s="7"/>
      <c r="AC161" s="7"/>
    </row>
    <row r="162" spans="1:29">
      <c r="A162" s="18">
        <v>45808</v>
      </c>
      <c r="B162" s="37">
        <f t="shared" si="6"/>
        <v>0</v>
      </c>
      <c r="C162" s="29"/>
      <c r="D162" s="29">
        <v>0</v>
      </c>
      <c r="E162" s="38"/>
      <c r="F162" s="39"/>
      <c r="G162" s="47"/>
      <c r="H162" s="24">
        <f t="shared" si="123"/>
        <v>40255.643440188578</v>
      </c>
      <c r="I162" s="41">
        <f t="shared" si="110"/>
        <v>40000</v>
      </c>
      <c r="J162" s="29">
        <f t="shared" si="111"/>
        <v>266.66666666666669</v>
      </c>
      <c r="K162" s="42">
        <f t="shared" si="124"/>
        <v>-11.023226478086485</v>
      </c>
      <c r="L162" s="33">
        <f t="shared" si="125"/>
        <v>0</v>
      </c>
      <c r="M162" s="196">
        <f t="shared" si="119"/>
        <v>271.28033320191537</v>
      </c>
      <c r="N162" s="29">
        <f t="shared" si="120"/>
        <v>266.66666666666669</v>
      </c>
      <c r="O162" s="30">
        <f t="shared" si="126"/>
        <v>4.613666535248683</v>
      </c>
      <c r="P162" s="43">
        <v>0</v>
      </c>
      <c r="Q162" s="44">
        <f>M162/H160</f>
        <v>3.3719633339608169E-3</v>
      </c>
      <c r="R162" s="33"/>
      <c r="S162" s="2">
        <f>N161+N162-D162</f>
        <v>1111.1111111111111</v>
      </c>
      <c r="T162" s="7">
        <f>O162+O161</f>
        <v>26.120986035340763</v>
      </c>
      <c r="U162" s="7">
        <f>M161+M162</f>
        <v>1137.2320971464519</v>
      </c>
      <c r="V162" s="45" t="e">
        <f>N162-#REF!</f>
        <v>#REF!</v>
      </c>
      <c r="W162" s="7" t="e">
        <f>J162-#REF!</f>
        <v>#REF!</v>
      </c>
      <c r="X162" s="7"/>
      <c r="Z162" s="7">
        <f t="shared" si="121"/>
        <v>1137.2320971464519</v>
      </c>
      <c r="AA162" s="7"/>
      <c r="AC162" s="7"/>
    </row>
    <row r="163" spans="1:29" ht="15.75" thickBot="1">
      <c r="A163" s="18">
        <v>45828</v>
      </c>
      <c r="B163" s="37">
        <f t="shared" si="6"/>
        <v>-40688.888888888891</v>
      </c>
      <c r="C163" s="29">
        <v>-40000</v>
      </c>
      <c r="D163" s="29">
        <f>-I161*O$4*(A163-A161)/360</f>
        <v>-688.88888888888891</v>
      </c>
      <c r="E163" s="38"/>
      <c r="F163" s="39"/>
      <c r="G163" s="47"/>
      <c r="H163" s="24">
        <f t="shared" si="123"/>
        <v>5.087801055304908E-2</v>
      </c>
      <c r="I163" s="41">
        <f t="shared" si="110"/>
        <v>0</v>
      </c>
      <c r="J163" s="29">
        <f t="shared" si="111"/>
        <v>0</v>
      </c>
      <c r="K163" s="42">
        <f t="shared" si="124"/>
        <v>5.087801055304908E-2</v>
      </c>
      <c r="L163" s="33">
        <f t="shared" si="125"/>
        <v>0</v>
      </c>
      <c r="M163" s="196">
        <f>H162*((100%+$O$8)^(A163-A162-1)-100%)</f>
        <v>433.29632671086176</v>
      </c>
      <c r="N163" s="29">
        <f>I162*O$4*(A163-A162-1)/360</f>
        <v>422.22222222222223</v>
      </c>
      <c r="O163" s="30">
        <f>M163-N163</f>
        <v>11.074104488639534</v>
      </c>
      <c r="P163" s="43">
        <v>0</v>
      </c>
      <c r="Q163" s="44"/>
      <c r="R163" s="33"/>
      <c r="V163" s="45" t="e">
        <f>N163-#REF!</f>
        <v>#REF!</v>
      </c>
      <c r="W163" s="7" t="e">
        <f>J163-#REF!</f>
        <v>#REF!</v>
      </c>
      <c r="X163" s="7">
        <f>ROUND((O162+O163),2)</f>
        <v>15.69</v>
      </c>
      <c r="Y163" s="46" t="s">
        <v>28</v>
      </c>
      <c r="Z163" s="7"/>
      <c r="AA163" s="7"/>
      <c r="AC163" s="7"/>
    </row>
    <row r="164" spans="1:29" ht="16.5" thickTop="1" thickBot="1">
      <c r="A164" s="48" t="s">
        <v>29</v>
      </c>
      <c r="B164" s="49">
        <f>SUM(B15:B163)</f>
        <v>-4934622.222222222</v>
      </c>
      <c r="C164" s="49">
        <f>SUM(C15:C163)</f>
        <v>-3000000</v>
      </c>
      <c r="D164" s="49">
        <f>SUM(D15:D163)</f>
        <v>-1934622.2222222222</v>
      </c>
      <c r="E164" s="50" t="s">
        <v>30</v>
      </c>
      <c r="F164" s="51" t="s">
        <v>30</v>
      </c>
      <c r="G164" s="52"/>
      <c r="H164" s="53" t="s">
        <v>30</v>
      </c>
      <c r="I164" s="54" t="s">
        <v>30</v>
      </c>
      <c r="J164" s="55" t="s">
        <v>30</v>
      </c>
      <c r="K164" s="56" t="s">
        <v>30</v>
      </c>
      <c r="L164" s="54" t="s">
        <v>30</v>
      </c>
      <c r="M164" s="197">
        <f>SUM(M13:M163)</f>
        <v>1964622.2731002339</v>
      </c>
      <c r="N164" s="58">
        <f>SUM(N13:N163)</f>
        <v>1934622.2222222218</v>
      </c>
      <c r="O164" s="59">
        <f>SUM(O13:O163)</f>
        <v>30000.050878010559</v>
      </c>
      <c r="P164" s="60">
        <f>SUM(P16:P163)</f>
        <v>0</v>
      </c>
      <c r="Q164" s="61" t="s">
        <v>24</v>
      </c>
      <c r="R164" s="33"/>
      <c r="S164" s="62">
        <f>SUM(S13:S163)</f>
        <v>325977.77777777775</v>
      </c>
      <c r="X164" s="7"/>
      <c r="Z164" s="7"/>
      <c r="AA164" s="7"/>
    </row>
    <row r="165" spans="1:29">
      <c r="C165" s="7"/>
      <c r="D165" s="7"/>
      <c r="N165" s="63"/>
      <c r="O165" s="64"/>
      <c r="P165" s="65"/>
      <c r="Z165" s="7"/>
    </row>
    <row r="166" spans="1:29">
      <c r="A166" s="189" t="s">
        <v>56</v>
      </c>
      <c r="H166" s="190">
        <f>H163</f>
        <v>5.087801055304908E-2</v>
      </c>
      <c r="K166" s="190">
        <f>K163</f>
        <v>5.087801055304908E-2</v>
      </c>
      <c r="M166" s="190">
        <f>M164-(N164+O164)</f>
        <v>0</v>
      </c>
      <c r="N166" s="190">
        <f>N164+D164</f>
        <v>0</v>
      </c>
      <c r="O166" s="190">
        <f>E13+O164</f>
        <v>5.0878010559245013E-2</v>
      </c>
      <c r="P166" s="65"/>
      <c r="Z166" s="7"/>
    </row>
    <row r="167" spans="1:29">
      <c r="N167" s="66"/>
      <c r="O167" s="66"/>
      <c r="P167" s="65"/>
      <c r="Z167" s="7"/>
    </row>
    <row r="168" spans="1:29" ht="15.75" thickBot="1">
      <c r="N168" s="65"/>
      <c r="O168" s="65"/>
      <c r="P168" s="65"/>
      <c r="Z168" s="7"/>
    </row>
    <row r="169" spans="1:29" ht="15.75" thickBot="1">
      <c r="E169" s="67"/>
      <c r="G169" s="68" t="e">
        <f>#REF!-#REF!</f>
        <v>#REF!</v>
      </c>
      <c r="N169" s="65"/>
      <c r="O169" s="65"/>
      <c r="P169" s="65"/>
    </row>
    <row r="170" spans="1:29">
      <c r="G170" s="45" t="e">
        <f>ROUND(NPV(#REF!,#REF!),0)-ROUND(NPV(#REF!,#REF!),0)</f>
        <v>#REF!</v>
      </c>
    </row>
    <row r="171" spans="1:29">
      <c r="G171" s="45" t="e">
        <f>ROUND(NPV(#REF!,#REF!)-NPV(#REF!,#REF!),0)</f>
        <v>#REF!</v>
      </c>
    </row>
    <row r="172" spans="1:29">
      <c r="G172" s="45"/>
    </row>
  </sheetData>
  <mergeCells count="23">
    <mergeCell ref="N2:P2"/>
    <mergeCell ref="A9:A12"/>
    <mergeCell ref="B9:E10"/>
    <mergeCell ref="F9:F12"/>
    <mergeCell ref="H9:L10"/>
    <mergeCell ref="M9:O10"/>
    <mergeCell ref="P9:P10"/>
    <mergeCell ref="L11:L12"/>
    <mergeCell ref="I11:I12"/>
    <mergeCell ref="J11:J12"/>
    <mergeCell ref="K11:K12"/>
    <mergeCell ref="B2:D2"/>
    <mergeCell ref="H2:L2"/>
    <mergeCell ref="C11:C12"/>
    <mergeCell ref="D11:D12"/>
    <mergeCell ref="E11:E12"/>
    <mergeCell ref="Q9:Q12"/>
    <mergeCell ref="X9:Y12"/>
    <mergeCell ref="G11:G12"/>
    <mergeCell ref="H11:H12"/>
    <mergeCell ref="N11:N12"/>
    <mergeCell ref="O11:O12"/>
    <mergeCell ref="P11:P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AC175"/>
  <sheetViews>
    <sheetView topLeftCell="A145" workbookViewId="0">
      <selection activeCell="D166" sqref="D166"/>
    </sheetView>
  </sheetViews>
  <sheetFormatPr defaultRowHeight="15"/>
  <cols>
    <col min="1" max="1" width="12" customWidth="1"/>
    <col min="2" max="3" width="14.7109375" customWidth="1"/>
    <col min="4" max="4" width="13.140625" customWidth="1"/>
    <col min="5" max="5" width="10" customWidth="1"/>
    <col min="6" max="6" width="9.42578125" hidden="1" customWidth="1"/>
    <col min="7" max="7" width="13.85546875" hidden="1" customWidth="1"/>
    <col min="8" max="8" width="13.5703125" customWidth="1"/>
    <col min="9" max="9" width="12.7109375" customWidth="1"/>
    <col min="10" max="10" width="13.42578125" customWidth="1"/>
    <col min="11" max="11" width="12.7109375" customWidth="1"/>
    <col min="12" max="12" width="9.28515625" hidden="1" customWidth="1"/>
    <col min="13" max="13" width="12.28515625" customWidth="1"/>
    <col min="14" max="14" width="16.5703125" customWidth="1"/>
    <col min="15" max="15" width="14.140625" customWidth="1"/>
    <col min="16" max="16" width="11.42578125" hidden="1" customWidth="1"/>
    <col min="17" max="17" width="11.28515625" hidden="1" customWidth="1"/>
    <col min="18" max="18" width="0.7109375" customWidth="1"/>
    <col min="19" max="19" width="12.140625" style="2" hidden="1" customWidth="1"/>
    <col min="20" max="21" width="0" hidden="1" customWidth="1"/>
    <col min="22" max="22" width="11.28515625" hidden="1" customWidth="1"/>
    <col min="23" max="24" width="0" hidden="1" customWidth="1"/>
    <col min="25" max="25" width="49.28515625" hidden="1" customWidth="1"/>
    <col min="26" max="26" width="13.5703125" customWidth="1"/>
    <col min="27" max="27" width="10.140625" customWidth="1"/>
    <col min="29" max="29" width="11.7109375" bestFit="1" customWidth="1"/>
  </cols>
  <sheetData>
    <row r="2" spans="1:29">
      <c r="B2" s="199"/>
      <c r="C2" s="199"/>
      <c r="D2" s="199"/>
      <c r="H2" s="199"/>
      <c r="I2" s="199"/>
      <c r="J2" s="199"/>
      <c r="K2" s="199"/>
      <c r="L2" s="199"/>
      <c r="N2" s="199" t="s">
        <v>0</v>
      </c>
      <c r="O2" s="199"/>
      <c r="P2" s="199"/>
      <c r="Q2" s="1"/>
    </row>
    <row r="3" spans="1:29" ht="4.5" customHeight="1"/>
    <row r="4" spans="1:29">
      <c r="B4" s="3"/>
      <c r="N4" s="3" t="s">
        <v>1</v>
      </c>
      <c r="O4" s="4">
        <v>0.2</v>
      </c>
    </row>
    <row r="5" spans="1:29" ht="4.5" customHeight="1">
      <c r="B5" s="3"/>
    </row>
    <row r="6" spans="1:29">
      <c r="B6" s="3"/>
      <c r="N6" s="3" t="s">
        <v>51</v>
      </c>
      <c r="O6" s="4">
        <v>0.22834642529487614</v>
      </c>
      <c r="S6" s="5"/>
      <c r="T6" s="6"/>
    </row>
    <row r="7" spans="1:29" ht="4.5" customHeight="1">
      <c r="B7" s="3"/>
    </row>
    <row r="8" spans="1:29" ht="15.75" thickBot="1">
      <c r="C8" s="7"/>
      <c r="D8" s="7"/>
      <c r="H8" s="7"/>
      <c r="I8" s="7"/>
      <c r="N8" s="3" t="s">
        <v>52</v>
      </c>
      <c r="O8" s="191">
        <v>5.6363520794988631E-4</v>
      </c>
    </row>
    <row r="9" spans="1:29" ht="13.5" customHeight="1" thickTop="1">
      <c r="A9" s="200" t="s">
        <v>3</v>
      </c>
      <c r="B9" s="203" t="s">
        <v>4</v>
      </c>
      <c r="C9" s="204"/>
      <c r="D9" s="204"/>
      <c r="E9" s="205"/>
      <c r="F9" s="209" t="s">
        <v>5</v>
      </c>
      <c r="G9" s="185"/>
      <c r="H9" s="212" t="s">
        <v>53</v>
      </c>
      <c r="I9" s="213"/>
      <c r="J9" s="213"/>
      <c r="K9" s="213"/>
      <c r="L9" s="214"/>
      <c r="M9" s="218" t="s">
        <v>54</v>
      </c>
      <c r="N9" s="219"/>
      <c r="O9" s="220"/>
      <c r="P9" s="224" t="s">
        <v>8</v>
      </c>
      <c r="Q9" s="232" t="s">
        <v>9</v>
      </c>
      <c r="R9" s="9"/>
      <c r="X9" s="235" t="s">
        <v>10</v>
      </c>
      <c r="Y9" s="235"/>
    </row>
    <row r="10" spans="1:29" ht="13.5" customHeight="1">
      <c r="A10" s="201"/>
      <c r="B10" s="206"/>
      <c r="C10" s="207"/>
      <c r="D10" s="207"/>
      <c r="E10" s="208"/>
      <c r="F10" s="210"/>
      <c r="G10" s="186"/>
      <c r="H10" s="215"/>
      <c r="I10" s="216"/>
      <c r="J10" s="216"/>
      <c r="K10" s="216"/>
      <c r="L10" s="217"/>
      <c r="M10" s="221"/>
      <c r="N10" s="222"/>
      <c r="O10" s="223"/>
      <c r="P10" s="225"/>
      <c r="Q10" s="233"/>
      <c r="R10" s="9"/>
      <c r="S10" s="11"/>
      <c r="X10" s="235"/>
      <c r="Y10" s="235"/>
    </row>
    <row r="11" spans="1:29" ht="13.5" customHeight="1">
      <c r="A11" s="201"/>
      <c r="B11" s="12"/>
      <c r="C11" s="228" t="s">
        <v>11</v>
      </c>
      <c r="D11" s="228" t="s">
        <v>12</v>
      </c>
      <c r="E11" s="230" t="s">
        <v>13</v>
      </c>
      <c r="F11" s="210"/>
      <c r="G11" s="210" t="s">
        <v>5</v>
      </c>
      <c r="H11" s="236" t="s">
        <v>14</v>
      </c>
      <c r="I11" s="228" t="s">
        <v>11</v>
      </c>
      <c r="J11" s="228" t="s">
        <v>15</v>
      </c>
      <c r="K11" s="228" t="s">
        <v>16</v>
      </c>
      <c r="L11" s="226" t="s">
        <v>17</v>
      </c>
      <c r="M11" s="13"/>
      <c r="N11" s="228" t="s">
        <v>18</v>
      </c>
      <c r="O11" s="238" t="s">
        <v>19</v>
      </c>
      <c r="P11" s="240" t="s">
        <v>20</v>
      </c>
      <c r="Q11" s="233"/>
      <c r="R11" s="9"/>
      <c r="S11" s="14"/>
      <c r="X11" s="235"/>
      <c r="Y11" s="235"/>
    </row>
    <row r="12" spans="1:29" ht="66.75" customHeight="1" thickBot="1">
      <c r="A12" s="202"/>
      <c r="B12" s="15" t="s">
        <v>14</v>
      </c>
      <c r="C12" s="229"/>
      <c r="D12" s="229"/>
      <c r="E12" s="231"/>
      <c r="F12" s="211"/>
      <c r="G12" s="211"/>
      <c r="H12" s="237"/>
      <c r="I12" s="229"/>
      <c r="J12" s="229"/>
      <c r="K12" s="229"/>
      <c r="L12" s="227"/>
      <c r="M12" s="16" t="s">
        <v>21</v>
      </c>
      <c r="N12" s="229"/>
      <c r="O12" s="239"/>
      <c r="P12" s="241"/>
      <c r="Q12" s="234"/>
      <c r="R12" s="17"/>
      <c r="V12" t="s">
        <v>22</v>
      </c>
      <c r="W12" t="s">
        <v>23</v>
      </c>
      <c r="X12" s="235"/>
      <c r="Y12" s="235"/>
      <c r="Z12" s="192" t="s">
        <v>55</v>
      </c>
    </row>
    <row r="13" spans="1:29" ht="16.5" thickTop="1" thickBot="1">
      <c r="A13" s="18">
        <v>43541</v>
      </c>
      <c r="B13" s="19">
        <v>2970000</v>
      </c>
      <c r="C13" s="20">
        <v>3000000</v>
      </c>
      <c r="D13" s="20"/>
      <c r="E13" s="21">
        <v>-30000</v>
      </c>
      <c r="F13" s="22">
        <v>-176113.87177890365</v>
      </c>
      <c r="G13" s="23"/>
      <c r="H13" s="24">
        <v>2970000</v>
      </c>
      <c r="I13" s="25">
        <v>3000000</v>
      </c>
      <c r="J13" s="20"/>
      <c r="K13" s="26">
        <v>-30000</v>
      </c>
      <c r="L13" s="27" t="s">
        <v>24</v>
      </c>
      <c r="M13" s="196"/>
      <c r="N13" s="29"/>
      <c r="O13" s="30"/>
      <c r="P13" s="31" t="s">
        <v>24</v>
      </c>
      <c r="Q13" s="32" t="s">
        <v>24</v>
      </c>
      <c r="R13" s="33"/>
      <c r="S13" s="2">
        <v>0</v>
      </c>
      <c r="U13" s="34"/>
      <c r="X13" s="35" t="s">
        <v>25</v>
      </c>
      <c r="Y13" s="36" t="s">
        <v>26</v>
      </c>
      <c r="Z13" s="7"/>
      <c r="AA13" s="7"/>
    </row>
    <row r="14" spans="1:29" ht="16.5" thickTop="1" thickBot="1">
      <c r="A14" s="18">
        <v>43555</v>
      </c>
      <c r="B14" s="37">
        <v>0</v>
      </c>
      <c r="C14" s="29"/>
      <c r="D14" s="29"/>
      <c r="E14" s="38" t="s">
        <v>24</v>
      </c>
      <c r="F14" s="39" t="e">
        <v>#REF!</v>
      </c>
      <c r="G14" s="40"/>
      <c r="H14" s="24">
        <v>2995209.2608515611</v>
      </c>
      <c r="I14" s="41">
        <v>3000000</v>
      </c>
      <c r="J14" s="29">
        <v>25000</v>
      </c>
      <c r="K14" s="42">
        <v>-29790.739148438806</v>
      </c>
      <c r="L14" s="33">
        <v>0</v>
      </c>
      <c r="M14" s="196">
        <v>25209.260851561194</v>
      </c>
      <c r="N14" s="29">
        <v>25000</v>
      </c>
      <c r="O14" s="30">
        <v>209.2608515611937</v>
      </c>
      <c r="P14" s="43">
        <v>0</v>
      </c>
      <c r="Q14" s="44"/>
      <c r="R14" s="33"/>
      <c r="T14" s="7">
        <v>209.2608515611937</v>
      </c>
      <c r="U14" s="7">
        <v>25209.260851561194</v>
      </c>
      <c r="V14" s="45" t="e">
        <v>#REF!</v>
      </c>
      <c r="W14" s="7" t="e">
        <v>#REF!</v>
      </c>
      <c r="X14" s="7">
        <v>209.26</v>
      </c>
      <c r="Y14" s="46" t="s">
        <v>27</v>
      </c>
      <c r="Z14" s="7">
        <v>25209.260851561194</v>
      </c>
      <c r="AA14" s="7"/>
      <c r="AB14" s="7"/>
      <c r="AC14" s="7"/>
    </row>
    <row r="15" spans="1:29" ht="16.5" thickTop="1" thickBot="1">
      <c r="A15" s="18">
        <v>43573</v>
      </c>
      <c r="B15" s="37">
        <v>-93333.333333333343</v>
      </c>
      <c r="C15" s="29">
        <v>-40000</v>
      </c>
      <c r="D15" s="29">
        <v>-53333.333333333336</v>
      </c>
      <c r="E15" s="38" t="s">
        <v>24</v>
      </c>
      <c r="F15" s="39" t="e">
        <v>#REF!</v>
      </c>
      <c r="G15" s="40"/>
      <c r="H15" s="24">
        <v>2930705.1929941489</v>
      </c>
      <c r="I15" s="41">
        <v>2960000</v>
      </c>
      <c r="J15" s="29">
        <v>0</v>
      </c>
      <c r="K15" s="42">
        <v>-29294.807005850937</v>
      </c>
      <c r="L15" s="33">
        <v>0</v>
      </c>
      <c r="M15" s="196">
        <v>28829.265475921202</v>
      </c>
      <c r="N15" s="29">
        <v>28333.333333333332</v>
      </c>
      <c r="O15" s="30">
        <v>495.93214258786975</v>
      </c>
      <c r="P15" s="43">
        <v>0</v>
      </c>
      <c r="Q15" s="44"/>
      <c r="R15" s="33"/>
      <c r="T15" s="7">
        <v>495.93214258786975</v>
      </c>
      <c r="U15" s="7">
        <v>28829.265475921202</v>
      </c>
      <c r="V15" s="45" t="e">
        <v>#REF!</v>
      </c>
      <c r="W15" s="7" t="e">
        <v>#REF!</v>
      </c>
      <c r="X15" s="7">
        <v>495.93</v>
      </c>
      <c r="Y15" s="46" t="s">
        <v>27</v>
      </c>
      <c r="Z15" s="7"/>
      <c r="AA15" s="7"/>
      <c r="AC15" s="7"/>
    </row>
    <row r="16" spans="1:29" ht="15.75" thickTop="1">
      <c r="A16" s="18">
        <v>43585</v>
      </c>
      <c r="B16" s="37">
        <v>0</v>
      </c>
      <c r="C16" s="29"/>
      <c r="D16" s="29">
        <v>0</v>
      </c>
      <c r="E16" s="38"/>
      <c r="F16" s="39" t="e">
        <v>#REF!</v>
      </c>
      <c r="G16" s="40"/>
      <c r="H16" s="24">
        <v>2952251.9966144352</v>
      </c>
      <c r="I16" s="41">
        <v>2960000</v>
      </c>
      <c r="J16" s="29">
        <v>21377.777777777777</v>
      </c>
      <c r="K16" s="42">
        <v>-29125.781163342668</v>
      </c>
      <c r="L16" s="33">
        <v>0</v>
      </c>
      <c r="M16" s="196">
        <v>21546.803620286046</v>
      </c>
      <c r="N16" s="29">
        <v>21377.777777777777</v>
      </c>
      <c r="O16" s="30">
        <v>169.0258425082684</v>
      </c>
      <c r="P16" s="43">
        <v>0</v>
      </c>
      <c r="Q16" s="44">
        <v>7.2548160337663455E-3</v>
      </c>
      <c r="R16" s="33"/>
      <c r="S16" s="2">
        <v>49711.111111111109</v>
      </c>
      <c r="T16" s="7">
        <v>169.0258425082684</v>
      </c>
      <c r="U16" s="7">
        <v>21546.803620286046</v>
      </c>
      <c r="V16" s="45" t="e">
        <v>#REF!</v>
      </c>
      <c r="W16" s="7" t="e">
        <v>#REF!</v>
      </c>
      <c r="X16" s="7"/>
      <c r="Z16" s="7">
        <v>50376.069096207248</v>
      </c>
      <c r="AA16" s="7"/>
      <c r="AB16" s="7"/>
      <c r="AC16" s="7"/>
    </row>
    <row r="17" spans="1:29">
      <c r="A17" s="95">
        <v>43605</v>
      </c>
      <c r="B17" s="96">
        <v>-92622.222222222219</v>
      </c>
      <c r="C17" s="97">
        <v>-40000</v>
      </c>
      <c r="D17" s="97">
        <v>-52622.222222222219</v>
      </c>
      <c r="E17" s="98"/>
      <c r="F17" s="99"/>
      <c r="G17" s="100"/>
      <c r="H17" s="101">
        <v>2891406.5363374827</v>
      </c>
      <c r="I17" s="102">
        <v>2920000</v>
      </c>
      <c r="J17" s="97">
        <v>0</v>
      </c>
      <c r="K17" s="103">
        <v>-28593.463662517202</v>
      </c>
      <c r="L17" s="104">
        <v>0</v>
      </c>
      <c r="M17" s="198">
        <v>31776.761945269911</v>
      </c>
      <c r="N17" s="97">
        <v>31244.444444444445</v>
      </c>
      <c r="O17" s="106">
        <v>532.31750082546569</v>
      </c>
      <c r="P17" s="43">
        <v>0</v>
      </c>
      <c r="Q17" s="44"/>
      <c r="R17" s="33"/>
      <c r="V17" s="45" t="e">
        <v>#REF!</v>
      </c>
      <c r="W17" s="7" t="e">
        <v>#REF!</v>
      </c>
      <c r="X17" s="7">
        <v>701.34</v>
      </c>
      <c r="Y17" s="46" t="s">
        <v>28</v>
      </c>
      <c r="Z17" s="7"/>
      <c r="AA17" s="7"/>
      <c r="AC17" s="7"/>
    </row>
    <row r="18" spans="1:29">
      <c r="A18" s="18"/>
      <c r="B18" s="37"/>
      <c r="C18" s="29"/>
      <c r="D18" s="29"/>
      <c r="E18" s="38"/>
      <c r="F18" s="39"/>
      <c r="G18" s="47"/>
      <c r="H18" s="24"/>
      <c r="I18" s="41"/>
      <c r="J18" s="29"/>
      <c r="K18" s="42"/>
      <c r="L18" s="33"/>
      <c r="M18" s="196"/>
      <c r="N18" s="29"/>
      <c r="O18" s="30"/>
      <c r="P18" s="43"/>
      <c r="Q18" s="44"/>
      <c r="R18" s="33"/>
      <c r="V18" s="45"/>
      <c r="W18" s="7"/>
      <c r="X18" s="7"/>
      <c r="Y18" s="46"/>
      <c r="Z18" s="7"/>
      <c r="AA18" s="7"/>
      <c r="AC18" s="7"/>
    </row>
    <row r="19" spans="1:29">
      <c r="A19" s="18"/>
      <c r="B19" s="37"/>
      <c r="C19" s="29"/>
      <c r="D19" s="29"/>
      <c r="E19" s="38"/>
      <c r="F19" s="39"/>
      <c r="G19" s="47"/>
      <c r="H19" s="24"/>
      <c r="I19" s="41"/>
      <c r="J19" s="29"/>
      <c r="K19" s="42"/>
      <c r="L19" s="33"/>
      <c r="M19" s="196" t="s">
        <v>57</v>
      </c>
      <c r="N19" s="29"/>
      <c r="O19" s="195">
        <f>K20-K17-O20</f>
        <v>8059.8135638024314</v>
      </c>
      <c r="P19" s="43"/>
      <c r="Q19" s="44"/>
      <c r="R19" s="33"/>
      <c r="V19" s="45"/>
      <c r="W19" s="7"/>
      <c r="X19" s="7"/>
      <c r="Y19" s="46"/>
      <c r="Z19" s="7"/>
      <c r="AA19" s="7"/>
      <c r="AC19" s="7"/>
    </row>
    <row r="20" spans="1:29">
      <c r="A20" s="18">
        <v>43606</v>
      </c>
      <c r="B20" s="37">
        <f t="shared" ref="B20:B166" si="0">SUM(C20:E20)</f>
        <v>0</v>
      </c>
      <c r="C20" s="29"/>
      <c r="D20" s="29"/>
      <c r="E20" s="38"/>
      <c r="F20" s="39"/>
      <c r="G20" s="47"/>
      <c r="H20" s="24">
        <f>-(XNPV($O$6,B20:$B$166,A20:$A$166)-B20)*((1+$O$6)^(1/365))</f>
        <v>1500311.978555308</v>
      </c>
      <c r="I20" s="194">
        <f>I17-1400000</f>
        <v>1520000</v>
      </c>
      <c r="J20" s="29">
        <f>J17+N20-D20</f>
        <v>844.44444444444446</v>
      </c>
      <c r="K20" s="103">
        <f>H20-I20-J20</f>
        <v>-20532.465889136489</v>
      </c>
      <c r="L20" s="33"/>
      <c r="M20" s="196">
        <f>H20*((100%+$O$8)^(A20-A17)-100%)</f>
        <v>845.62865402272632</v>
      </c>
      <c r="N20" s="108">
        <f>(I20)*O4/360</f>
        <v>844.44444444444446</v>
      </c>
      <c r="O20" s="30">
        <f t="shared" ref="O20" si="1">M20-N20</f>
        <v>1.184209578281866</v>
      </c>
      <c r="P20" s="43"/>
      <c r="Q20" s="44"/>
      <c r="R20" s="33"/>
      <c r="V20" s="45"/>
      <c r="W20" s="7"/>
      <c r="X20" s="7"/>
      <c r="Y20" s="46"/>
      <c r="Z20" s="7"/>
      <c r="AA20" s="7"/>
      <c r="AC20" s="7"/>
    </row>
    <row r="21" spans="1:29">
      <c r="A21" s="18">
        <v>43616</v>
      </c>
      <c r="B21" s="37">
        <f t="shared" si="0"/>
        <v>0</v>
      </c>
      <c r="C21" s="29"/>
      <c r="D21" s="29">
        <v>0</v>
      </c>
      <c r="E21" s="38"/>
      <c r="F21" s="39"/>
      <c r="G21" s="47"/>
      <c r="H21" s="24">
        <f t="shared" ref="H21:H166" si="2">I21+J21+K21</f>
        <v>1508789.7455382452</v>
      </c>
      <c r="I21" s="41">
        <f>I20+C21</f>
        <v>1520000</v>
      </c>
      <c r="J21" s="29">
        <f>J20+N21+D21</f>
        <v>9288.8888888888905</v>
      </c>
      <c r="K21" s="42">
        <f>K20+O21</f>
        <v>-20499.143350643819</v>
      </c>
      <c r="L21" s="33">
        <f t="shared" ref="L21:L166" si="3">P21</f>
        <v>0</v>
      </c>
      <c r="M21" s="196">
        <f>H20*((100%+$O$8)^(A21-A20)-100%)</f>
        <v>8477.7669829371171</v>
      </c>
      <c r="N21" s="29">
        <f>I20*O$4*(A21-A20)/360</f>
        <v>8444.4444444444453</v>
      </c>
      <c r="O21" s="30">
        <f t="shared" ref="O21:O165" si="4">M21-N21</f>
        <v>33.322538492671811</v>
      </c>
      <c r="P21" s="43">
        <v>0</v>
      </c>
      <c r="Q21" s="44">
        <f>M21/H16</f>
        <v>2.8716271485832497E-3</v>
      </c>
      <c r="R21" s="33"/>
      <c r="S21" s="2">
        <f>N17+N21-D21</f>
        <v>39688.888888888891</v>
      </c>
      <c r="T21" s="7">
        <f>O21+O17</f>
        <v>565.6400393181375</v>
      </c>
      <c r="U21" s="7">
        <f>M17+M21</f>
        <v>40254.52892820703</v>
      </c>
      <c r="V21" s="45" t="e">
        <f>N21-#REF!</f>
        <v>#REF!</v>
      </c>
      <c r="W21" s="7" t="e">
        <f>J21-#REF!</f>
        <v>#REF!</v>
      </c>
      <c r="X21" s="7"/>
      <c r="Z21" s="7">
        <f>M21+M17</f>
        <v>40254.52892820703</v>
      </c>
      <c r="AA21" s="7"/>
      <c r="AC21" s="7"/>
    </row>
    <row r="22" spans="1:29">
      <c r="A22" s="18">
        <v>43636</v>
      </c>
      <c r="B22" s="37">
        <f t="shared" si="0"/>
        <v>-25333.333333333332</v>
      </c>
      <c r="C22" s="29"/>
      <c r="D22" s="29">
        <f>-I20*O$4*(A22-A20)/360</f>
        <v>-25333.333333333332</v>
      </c>
      <c r="E22" s="38"/>
      <c r="F22" s="39"/>
      <c r="G22" s="47"/>
      <c r="H22" s="24">
        <f t="shared" si="2"/>
        <v>1499696.371606892</v>
      </c>
      <c r="I22" s="41">
        <f t="shared" ref="I22:I81" si="5">I21+C22</f>
        <v>1520000</v>
      </c>
      <c r="J22" s="29">
        <f t="shared" ref="J22:J82" si="6">J21+N22+D22</f>
        <v>0</v>
      </c>
      <c r="K22" s="42">
        <f t="shared" ref="K22:K82" si="7">K21+O22</f>
        <v>-20303.628393108142</v>
      </c>
      <c r="L22" s="33">
        <f t="shared" si="3"/>
        <v>0</v>
      </c>
      <c r="M22" s="196">
        <f t="shared" ref="M22" si="8">H21*((100%+$O$8)^(A22-A21-1)-100%)</f>
        <v>16239.959401980122</v>
      </c>
      <c r="N22" s="29">
        <f t="shared" ref="N22" si="9">I21*O$4*(A22-A21-1)/360</f>
        <v>16044.444444444445</v>
      </c>
      <c r="O22" s="30">
        <f t="shared" si="4"/>
        <v>195.51495753567724</v>
      </c>
      <c r="P22" s="43">
        <v>0</v>
      </c>
      <c r="Q22" s="44"/>
      <c r="R22" s="33"/>
      <c r="V22" s="45" t="e">
        <f>N22-#REF!</f>
        <v>#REF!</v>
      </c>
      <c r="W22" s="7" t="e">
        <f>J22-#REF!</f>
        <v>#REF!</v>
      </c>
      <c r="X22" s="7">
        <f>ROUND((O21+O22),2)</f>
        <v>228.84</v>
      </c>
      <c r="Y22" s="46" t="s">
        <v>28</v>
      </c>
      <c r="Z22" s="7"/>
      <c r="AA22" s="7"/>
      <c r="AC22" s="7"/>
    </row>
    <row r="23" spans="1:29">
      <c r="A23" s="18">
        <v>43646</v>
      </c>
      <c r="B23" s="37">
        <f t="shared" si="0"/>
        <v>0</v>
      </c>
      <c r="C23" s="29"/>
      <c r="D23" s="29">
        <v>0</v>
      </c>
      <c r="E23" s="38"/>
      <c r="F23" s="39"/>
      <c r="G23" s="47"/>
      <c r="H23" s="24">
        <f t="shared" si="2"/>
        <v>1509020.7180820573</v>
      </c>
      <c r="I23" s="41">
        <f t="shared" si="5"/>
        <v>1520000</v>
      </c>
      <c r="J23" s="29">
        <f t="shared" si="6"/>
        <v>9288.8888888888887</v>
      </c>
      <c r="K23" s="42">
        <f t="shared" si="7"/>
        <v>-20268.170806831666</v>
      </c>
      <c r="L23" s="33">
        <f t="shared" si="3"/>
        <v>0</v>
      </c>
      <c r="M23" s="196">
        <f t="shared" ref="M23" si="10">H22*((100%+$O$8)^(A23-A22+1)-100%)</f>
        <v>9324.3464751653664</v>
      </c>
      <c r="N23" s="29">
        <f t="shared" ref="N23" si="11">I22*O$4*(A23-A22+1)/360</f>
        <v>9288.8888888888887</v>
      </c>
      <c r="O23" s="30">
        <f t="shared" si="4"/>
        <v>35.457586276477741</v>
      </c>
      <c r="P23" s="43">
        <v>0</v>
      </c>
      <c r="Q23" s="44">
        <f>M23/H21</f>
        <v>6.1800171314386832E-3</v>
      </c>
      <c r="R23" s="33"/>
      <c r="S23" s="2">
        <f>N22+N23-D23</f>
        <v>25333.333333333336</v>
      </c>
      <c r="T23" s="7">
        <f>O23+O22</f>
        <v>230.97254381215498</v>
      </c>
      <c r="U23" s="7">
        <f>M22+M23</f>
        <v>25564.305877145489</v>
      </c>
      <c r="V23" s="45" t="e">
        <f>N23-#REF!</f>
        <v>#REF!</v>
      </c>
      <c r="W23" s="7" t="e">
        <f>J23-#REF!</f>
        <v>#REF!</v>
      </c>
      <c r="X23" s="7"/>
      <c r="Z23" s="7">
        <f t="shared" ref="Z23" si="12">M23+M22</f>
        <v>25564.305877145489</v>
      </c>
      <c r="AA23" s="7"/>
      <c r="AC23" s="7"/>
    </row>
    <row r="24" spans="1:29">
      <c r="A24" s="18">
        <v>43664</v>
      </c>
      <c r="B24" s="37">
        <f t="shared" si="0"/>
        <v>-23644.444444444445</v>
      </c>
      <c r="C24" s="29"/>
      <c r="D24" s="29">
        <f t="shared" ref="D24" si="13">-I22*O$4*(A24-A22)/360</f>
        <v>-23644.444444444445</v>
      </c>
      <c r="E24" s="38"/>
      <c r="F24" s="39"/>
      <c r="G24" s="47"/>
      <c r="H24" s="24">
        <f t="shared" si="2"/>
        <v>1499900.7876536667</v>
      </c>
      <c r="I24" s="41">
        <f t="shared" si="5"/>
        <v>1520000</v>
      </c>
      <c r="J24" s="29">
        <f t="shared" si="6"/>
        <v>0</v>
      </c>
      <c r="K24" s="42">
        <f t="shared" si="7"/>
        <v>-20099.212346333341</v>
      </c>
      <c r="L24" s="33">
        <f t="shared" si="3"/>
        <v>0</v>
      </c>
      <c r="M24" s="196">
        <f t="shared" ref="M24" si="14">H23*((100%+$O$8)^(A24-A23-1)-100%)</f>
        <v>14524.514016053879</v>
      </c>
      <c r="N24" s="29">
        <f t="shared" ref="N24" si="15">I23*O$4*(A24-A23-1)/360</f>
        <v>14355.555555555555</v>
      </c>
      <c r="O24" s="30">
        <f t="shared" si="4"/>
        <v>168.95846049832471</v>
      </c>
      <c r="P24" s="43">
        <v>0</v>
      </c>
      <c r="Q24" s="44"/>
      <c r="R24" s="33"/>
      <c r="V24" s="45" t="e">
        <f>N24-#REF!</f>
        <v>#REF!</v>
      </c>
      <c r="W24" s="7" t="e">
        <f>J24-#REF!</f>
        <v>#REF!</v>
      </c>
      <c r="X24" s="7">
        <f>ROUND((O23+O24),2)</f>
        <v>204.42</v>
      </c>
      <c r="Y24" s="46" t="s">
        <v>28</v>
      </c>
      <c r="Z24" s="7"/>
      <c r="AA24" s="7"/>
      <c r="AC24" s="7"/>
    </row>
    <row r="25" spans="1:29">
      <c r="A25" s="18">
        <v>43677</v>
      </c>
      <c r="B25" s="37">
        <f t="shared" si="0"/>
        <v>0</v>
      </c>
      <c r="C25" s="29"/>
      <c r="D25" s="29">
        <v>0</v>
      </c>
      <c r="E25" s="38"/>
      <c r="F25" s="39"/>
      <c r="G25" s="47"/>
      <c r="H25" s="24">
        <f t="shared" si="2"/>
        <v>1511779.8031438948</v>
      </c>
      <c r="I25" s="41">
        <f t="shared" si="5"/>
        <v>1520000</v>
      </c>
      <c r="J25" s="29">
        <f t="shared" si="6"/>
        <v>11822.222222222223</v>
      </c>
      <c r="K25" s="42">
        <f t="shared" si="7"/>
        <v>-20042.419078327475</v>
      </c>
      <c r="L25" s="33">
        <f t="shared" si="3"/>
        <v>0</v>
      </c>
      <c r="M25" s="196">
        <f t="shared" ref="M25" si="16">H24*((100%+$O$8)^(A25-A24+1)-100%)</f>
        <v>11879.015490228086</v>
      </c>
      <c r="N25" s="29">
        <f t="shared" ref="N25" si="17">I24*O$4*(A25-A24+1)/360</f>
        <v>11822.222222222223</v>
      </c>
      <c r="O25" s="30">
        <f t="shared" si="4"/>
        <v>56.793268005863865</v>
      </c>
      <c r="P25" s="43">
        <v>0</v>
      </c>
      <c r="Q25" s="44">
        <f>M25/H23</f>
        <v>7.8720029141323769E-3</v>
      </c>
      <c r="R25" s="33"/>
      <c r="S25" s="2">
        <f>N24+N25-D25</f>
        <v>26177.777777777777</v>
      </c>
      <c r="T25" s="7">
        <f>O25+O24</f>
        <v>225.75172850418858</v>
      </c>
      <c r="U25" s="7">
        <f>M24+M25</f>
        <v>26403.529506281964</v>
      </c>
      <c r="V25" s="45" t="e">
        <f>N25-#REF!</f>
        <v>#REF!</v>
      </c>
      <c r="W25" s="7" t="e">
        <f>J25-#REF!</f>
        <v>#REF!</v>
      </c>
      <c r="X25" s="7"/>
      <c r="Z25" s="7">
        <f t="shared" ref="Z25" si="18">M25+M24</f>
        <v>26403.529506281964</v>
      </c>
      <c r="AA25" s="7"/>
      <c r="AC25" s="7"/>
    </row>
    <row r="26" spans="1:29">
      <c r="A26" s="18">
        <v>43697</v>
      </c>
      <c r="B26" s="37">
        <f t="shared" si="0"/>
        <v>-27866.666666666668</v>
      </c>
      <c r="C26" s="29"/>
      <c r="D26" s="29">
        <f t="shared" ref="D26" si="19">-I24*O$4*(A26-A24)/360</f>
        <v>-27866.666666666668</v>
      </c>
      <c r="E26" s="38"/>
      <c r="F26" s="39"/>
      <c r="G26" s="47"/>
      <c r="H26" s="24">
        <f t="shared" si="2"/>
        <v>1500185.2795643564</v>
      </c>
      <c r="I26" s="41">
        <f t="shared" si="5"/>
        <v>1520000</v>
      </c>
      <c r="J26" s="29">
        <f t="shared" si="6"/>
        <v>0</v>
      </c>
      <c r="K26" s="42">
        <f t="shared" si="7"/>
        <v>-19814.720435643536</v>
      </c>
      <c r="L26" s="33">
        <f t="shared" si="3"/>
        <v>0</v>
      </c>
      <c r="M26" s="196">
        <f t="shared" ref="M26" si="20">H25*((100%+$O$8)^(A26-A25-1)-100%)</f>
        <v>16272.143087128385</v>
      </c>
      <c r="N26" s="29">
        <f t="shared" ref="N26" si="21">I25*O$4*(A26-A25-1)/360</f>
        <v>16044.444444444445</v>
      </c>
      <c r="O26" s="30">
        <f t="shared" si="4"/>
        <v>227.6986426839394</v>
      </c>
      <c r="P26" s="43">
        <v>0</v>
      </c>
      <c r="Q26" s="44"/>
      <c r="R26" s="33"/>
      <c r="V26" s="45" t="e">
        <f>N26-#REF!</f>
        <v>#REF!</v>
      </c>
      <c r="W26" s="7" t="e">
        <f>J26-#REF!</f>
        <v>#REF!</v>
      </c>
      <c r="X26" s="7">
        <f>ROUND((O25+O26),2)</f>
        <v>284.49</v>
      </c>
      <c r="Y26" s="46" t="s">
        <v>28</v>
      </c>
      <c r="Z26" s="7"/>
      <c r="AA26" s="7"/>
      <c r="AC26" s="7"/>
    </row>
    <row r="27" spans="1:29">
      <c r="A27" s="18">
        <v>43708</v>
      </c>
      <c r="B27" s="37">
        <f t="shared" si="0"/>
        <v>0</v>
      </c>
      <c r="C27" s="29"/>
      <c r="D27" s="29">
        <v>0</v>
      </c>
      <c r="E27" s="38"/>
      <c r="F27" s="39"/>
      <c r="G27" s="47"/>
      <c r="H27" s="24">
        <f t="shared" si="2"/>
        <v>1510363.4803049264</v>
      </c>
      <c r="I27" s="41">
        <f t="shared" si="5"/>
        <v>1520000</v>
      </c>
      <c r="J27" s="29">
        <f t="shared" si="6"/>
        <v>10133.333333333334</v>
      </c>
      <c r="K27" s="42">
        <f t="shared" si="7"/>
        <v>-19769.853028406902</v>
      </c>
      <c r="L27" s="33">
        <f t="shared" si="3"/>
        <v>0</v>
      </c>
      <c r="M27" s="196">
        <f t="shared" ref="M27" si="22">H26*((100%+$O$8)^(A27-A26+1)-100%)</f>
        <v>10178.200740569968</v>
      </c>
      <c r="N27" s="29">
        <f t="shared" ref="N27" si="23">I26*O$4*(A27-A26+1)/360</f>
        <v>10133.333333333334</v>
      </c>
      <c r="O27" s="30">
        <f t="shared" si="4"/>
        <v>44.867407236633881</v>
      </c>
      <c r="P27" s="43">
        <v>0</v>
      </c>
      <c r="Q27" s="44">
        <f>M27/H25</f>
        <v>6.732594733309308E-3</v>
      </c>
      <c r="R27" s="33"/>
      <c r="S27" s="2">
        <f>N26+N27-D27</f>
        <v>26177.777777777781</v>
      </c>
      <c r="T27" s="7">
        <f>O27+O26</f>
        <v>272.56604992057328</v>
      </c>
      <c r="U27" s="7">
        <f>M26+M27</f>
        <v>26450.343827698351</v>
      </c>
      <c r="V27" s="45" t="e">
        <f>N27-#REF!</f>
        <v>#REF!</v>
      </c>
      <c r="W27" s="7" t="e">
        <f>J27-#REF!</f>
        <v>#REF!</v>
      </c>
      <c r="X27" s="7"/>
      <c r="Z27" s="7">
        <f t="shared" ref="Z27" si="24">M27+M26</f>
        <v>26450.343827698351</v>
      </c>
      <c r="AA27" s="7"/>
      <c r="AC27" s="7"/>
    </row>
    <row r="28" spans="1:29">
      <c r="A28" s="18">
        <v>43727</v>
      </c>
      <c r="B28" s="37">
        <f t="shared" si="0"/>
        <v>-25333.333333333332</v>
      </c>
      <c r="C28" s="29"/>
      <c r="D28" s="29">
        <f t="shared" ref="D28" si="25">-I26*O$4*(A28-A26)/360</f>
        <v>-25333.333333333332</v>
      </c>
      <c r="E28" s="38"/>
      <c r="F28" s="39"/>
      <c r="G28" s="47"/>
      <c r="H28" s="24">
        <f t="shared" si="2"/>
        <v>1500427.0730891014</v>
      </c>
      <c r="I28" s="41">
        <f t="shared" si="5"/>
        <v>1520000</v>
      </c>
      <c r="J28" s="29">
        <f t="shared" si="6"/>
        <v>0</v>
      </c>
      <c r="K28" s="42">
        <f t="shared" si="7"/>
        <v>-19572.926910898568</v>
      </c>
      <c r="L28" s="33">
        <f t="shared" si="3"/>
        <v>0</v>
      </c>
      <c r="M28" s="196">
        <f t="shared" ref="M28:M90" si="26">H27*((100%+$O$8)^(A28-A27-1)-100%)</f>
        <v>15396.926117508332</v>
      </c>
      <c r="N28" s="29">
        <f t="shared" ref="N28:N90" si="27">I27*O$4*(A28-A27-1)/360</f>
        <v>15200</v>
      </c>
      <c r="O28" s="30">
        <f t="shared" si="4"/>
        <v>196.92611750833203</v>
      </c>
      <c r="P28" s="43">
        <v>0</v>
      </c>
      <c r="Q28" s="44"/>
      <c r="R28" s="33"/>
      <c r="V28" s="45" t="e">
        <f>N28-#REF!</f>
        <v>#REF!</v>
      </c>
      <c r="W28" s="7" t="e">
        <f>J28-#REF!</f>
        <v>#REF!</v>
      </c>
      <c r="X28" s="7">
        <f>ROUND((O27+O28),2)</f>
        <v>241.79</v>
      </c>
      <c r="Y28" s="46" t="s">
        <v>28</v>
      </c>
      <c r="Z28" s="7"/>
      <c r="AA28" s="7"/>
      <c r="AC28" s="7"/>
    </row>
    <row r="29" spans="1:29">
      <c r="A29" s="18">
        <v>43738</v>
      </c>
      <c r="B29" s="37">
        <f t="shared" si="0"/>
        <v>0</v>
      </c>
      <c r="C29" s="29"/>
      <c r="D29" s="29">
        <v>0</v>
      </c>
      <c r="E29" s="38"/>
      <c r="F29" s="39"/>
      <c r="G29" s="47"/>
      <c r="H29" s="24">
        <f t="shared" si="2"/>
        <v>1510606.9143090616</v>
      </c>
      <c r="I29" s="41">
        <f t="shared" si="5"/>
        <v>1520000</v>
      </c>
      <c r="J29" s="29">
        <f t="shared" si="6"/>
        <v>10133.333333333334</v>
      </c>
      <c r="K29" s="42">
        <f t="shared" si="7"/>
        <v>-19526.419024271723</v>
      </c>
      <c r="L29" s="33">
        <f t="shared" si="3"/>
        <v>0</v>
      </c>
      <c r="M29" s="196">
        <f t="shared" ref="M29:M91" si="28">H28*((100%+$O$8)^(A29-A28+1)-100%)</f>
        <v>10179.841219960179</v>
      </c>
      <c r="N29" s="29">
        <f t="shared" ref="N29:N91" si="29">I28*O$4*(A29-A28+1)/360</f>
        <v>10133.333333333334</v>
      </c>
      <c r="O29" s="30">
        <f t="shared" si="4"/>
        <v>46.507886626844993</v>
      </c>
      <c r="P29" s="43">
        <v>0</v>
      </c>
      <c r="Q29" s="44">
        <f>M29/H27</f>
        <v>6.739994281313646E-3</v>
      </c>
      <c r="R29" s="33"/>
      <c r="S29" s="2">
        <f>N28+N29-D29</f>
        <v>25333.333333333336</v>
      </c>
      <c r="T29" s="7">
        <f>O29+O28</f>
        <v>243.43400413517702</v>
      </c>
      <c r="U29" s="7">
        <f>M28+M29</f>
        <v>25576.767337468511</v>
      </c>
      <c r="V29" s="45" t="e">
        <f>N29-#REF!</f>
        <v>#REF!</v>
      </c>
      <c r="W29" s="7" t="e">
        <f>J29-#REF!</f>
        <v>#REF!</v>
      </c>
      <c r="X29" s="7"/>
      <c r="Z29" s="7">
        <f t="shared" ref="Z29:Z91" si="30">M29+M28</f>
        <v>25576.767337468511</v>
      </c>
      <c r="AA29" s="7"/>
      <c r="AC29" s="7"/>
    </row>
    <row r="30" spans="1:29">
      <c r="A30" s="18">
        <v>43758</v>
      </c>
      <c r="B30" s="37">
        <f t="shared" si="0"/>
        <v>-26177.777777777777</v>
      </c>
      <c r="C30" s="29"/>
      <c r="D30" s="29">
        <f t="shared" ref="D30" si="31">-I28*O$4*(A30-A28)/360</f>
        <v>-26177.777777777777</v>
      </c>
      <c r="E30" s="38"/>
      <c r="F30" s="39"/>
      <c r="G30" s="47"/>
      <c r="H30" s="24">
        <f t="shared" si="2"/>
        <v>1500688.6551509427</v>
      </c>
      <c r="I30" s="41">
        <f t="shared" si="5"/>
        <v>1520000</v>
      </c>
      <c r="J30" s="29">
        <f t="shared" si="6"/>
        <v>0</v>
      </c>
      <c r="K30" s="42">
        <f t="shared" si="7"/>
        <v>-19311.344849057194</v>
      </c>
      <c r="L30" s="33">
        <f t="shared" si="3"/>
        <v>0</v>
      </c>
      <c r="M30" s="196">
        <f t="shared" si="26"/>
        <v>16259.518619658975</v>
      </c>
      <c r="N30" s="29">
        <f t="shared" si="27"/>
        <v>16044.444444444445</v>
      </c>
      <c r="O30" s="30">
        <f t="shared" si="4"/>
        <v>215.07417521452953</v>
      </c>
      <c r="P30" s="43">
        <v>0</v>
      </c>
      <c r="Q30" s="44"/>
      <c r="R30" s="33"/>
      <c r="V30" s="45" t="e">
        <f>N30-#REF!</f>
        <v>#REF!</v>
      </c>
      <c r="W30" s="7" t="e">
        <f>J30-#REF!</f>
        <v>#REF!</v>
      </c>
      <c r="X30" s="7">
        <f>ROUND((O29+O30),2)</f>
        <v>261.58</v>
      </c>
      <c r="Y30" s="46" t="s">
        <v>28</v>
      </c>
      <c r="Z30" s="7"/>
      <c r="AA30" s="7"/>
      <c r="AC30" s="7"/>
    </row>
    <row r="31" spans="1:29">
      <c r="A31" s="18">
        <v>43769</v>
      </c>
      <c r="B31" s="37">
        <f t="shared" si="0"/>
        <v>0</v>
      </c>
      <c r="C31" s="29"/>
      <c r="D31" s="29">
        <v>0</v>
      </c>
      <c r="E31" s="38"/>
      <c r="F31" s="39"/>
      <c r="G31" s="47"/>
      <c r="H31" s="24">
        <f t="shared" si="2"/>
        <v>1510870.2711081782</v>
      </c>
      <c r="I31" s="41">
        <f t="shared" si="5"/>
        <v>1520000</v>
      </c>
      <c r="J31" s="29">
        <f t="shared" si="6"/>
        <v>10133.333333333334</v>
      </c>
      <c r="K31" s="42">
        <f t="shared" si="7"/>
        <v>-19263.062225155012</v>
      </c>
      <c r="L31" s="33">
        <f t="shared" si="3"/>
        <v>0</v>
      </c>
      <c r="M31" s="196">
        <f t="shared" si="28"/>
        <v>10181.615957235515</v>
      </c>
      <c r="N31" s="29">
        <f t="shared" si="29"/>
        <v>10133.333333333334</v>
      </c>
      <c r="O31" s="30">
        <f t="shared" si="4"/>
        <v>48.282623902181513</v>
      </c>
      <c r="P31" s="43"/>
      <c r="Q31" s="44"/>
      <c r="R31" s="33"/>
      <c r="V31" s="45"/>
      <c r="W31" s="7"/>
      <c r="X31" s="7"/>
      <c r="Y31" s="46"/>
      <c r="Z31" s="7">
        <f t="shared" si="30"/>
        <v>26441.134576894488</v>
      </c>
      <c r="AA31" s="7"/>
      <c r="AC31" s="7"/>
    </row>
    <row r="32" spans="1:29">
      <c r="A32" s="18">
        <v>43789</v>
      </c>
      <c r="B32" s="37">
        <f t="shared" si="0"/>
        <v>-26177.777777777777</v>
      </c>
      <c r="C32" s="29"/>
      <c r="D32" s="29">
        <f t="shared" ref="D32" si="32">-I30*O$4*(A32-A30)/360</f>
        <v>-26177.777777777777</v>
      </c>
      <c r="E32" s="38"/>
      <c r="F32" s="39"/>
      <c r="G32" s="47"/>
      <c r="H32" s="24">
        <f t="shared" si="2"/>
        <v>1500954.846608592</v>
      </c>
      <c r="I32" s="41">
        <f t="shared" si="5"/>
        <v>1520000</v>
      </c>
      <c r="J32" s="29">
        <f>J31+N32+D32</f>
        <v>0</v>
      </c>
      <c r="K32" s="42">
        <f t="shared" si="7"/>
        <v>-19045.153391408014</v>
      </c>
      <c r="L32" s="33">
        <f t="shared" si="3"/>
        <v>0</v>
      </c>
      <c r="M32" s="196">
        <f t="shared" si="26"/>
        <v>16262.353278191442</v>
      </c>
      <c r="N32" s="29">
        <f t="shared" si="27"/>
        <v>16044.444444444445</v>
      </c>
      <c r="O32" s="30">
        <f>M32-N32</f>
        <v>217.90883374699661</v>
      </c>
      <c r="P32" s="43"/>
      <c r="Q32" s="44"/>
      <c r="R32" s="33"/>
      <c r="V32" s="45"/>
      <c r="W32" s="7"/>
      <c r="X32" s="7"/>
      <c r="Y32" s="46"/>
      <c r="Z32" s="7"/>
      <c r="AA32" s="7"/>
      <c r="AC32" s="7"/>
    </row>
    <row r="33" spans="1:29">
      <c r="A33" s="18">
        <v>43799</v>
      </c>
      <c r="B33" s="37">
        <f t="shared" si="0"/>
        <v>0</v>
      </c>
      <c r="C33" s="29"/>
      <c r="D33" s="29">
        <v>0</v>
      </c>
      <c r="E33" s="38"/>
      <c r="F33" s="39"/>
      <c r="G33" s="47"/>
      <c r="H33" s="24">
        <f t="shared" si="2"/>
        <v>1510287.0176388929</v>
      </c>
      <c r="I33" s="41">
        <f t="shared" si="5"/>
        <v>1520000</v>
      </c>
      <c r="J33" s="29">
        <f t="shared" si="6"/>
        <v>9288.8888888888887</v>
      </c>
      <c r="K33" s="42">
        <f t="shared" si="7"/>
        <v>-19001.871249996009</v>
      </c>
      <c r="L33" s="33">
        <f t="shared" si="3"/>
        <v>0</v>
      </c>
      <c r="M33" s="196">
        <f t="shared" si="28"/>
        <v>9332.1710303008913</v>
      </c>
      <c r="N33" s="29">
        <f t="shared" si="29"/>
        <v>9288.8888888888887</v>
      </c>
      <c r="O33" s="30">
        <f t="shared" si="4"/>
        <v>43.282141412002602</v>
      </c>
      <c r="P33" s="43"/>
      <c r="Q33" s="44"/>
      <c r="R33" s="33"/>
      <c r="V33" s="45"/>
      <c r="W33" s="7"/>
      <c r="X33" s="7"/>
      <c r="Y33" s="46"/>
      <c r="Z33" s="7">
        <f t="shared" si="30"/>
        <v>25594.524308492335</v>
      </c>
      <c r="AA33" s="7"/>
      <c r="AC33" s="7"/>
    </row>
    <row r="34" spans="1:29">
      <c r="A34" s="18">
        <v>43818</v>
      </c>
      <c r="B34" s="37">
        <f t="shared" si="0"/>
        <v>-24488.888888888891</v>
      </c>
      <c r="C34" s="29"/>
      <c r="D34" s="29">
        <f t="shared" ref="D34" si="33">-I32*O$4*(A34-A32)/360</f>
        <v>-24488.888888888891</v>
      </c>
      <c r="E34" s="38"/>
      <c r="F34" s="39"/>
      <c r="G34" s="47"/>
      <c r="H34" s="24">
        <f t="shared" si="2"/>
        <v>1501194.2753928793</v>
      </c>
      <c r="I34" s="41">
        <f t="shared" si="5"/>
        <v>1520000</v>
      </c>
      <c r="J34" s="29">
        <f t="shared" si="6"/>
        <v>0</v>
      </c>
      <c r="K34" s="42">
        <f t="shared" si="7"/>
        <v>-18805.724607120785</v>
      </c>
      <c r="L34" s="33">
        <f t="shared" si="3"/>
        <v>0</v>
      </c>
      <c r="M34" s="196">
        <f t="shared" si="26"/>
        <v>15396.146642875226</v>
      </c>
      <c r="N34" s="29">
        <f t="shared" si="27"/>
        <v>15200</v>
      </c>
      <c r="O34" s="30">
        <f t="shared" si="4"/>
        <v>196.14664287522646</v>
      </c>
      <c r="P34" s="43"/>
      <c r="Q34" s="44"/>
      <c r="R34" s="33"/>
      <c r="V34" s="45"/>
      <c r="W34" s="7"/>
      <c r="X34" s="7"/>
      <c r="Y34" s="46"/>
      <c r="Z34" s="7"/>
      <c r="AA34" s="7"/>
      <c r="AC34" s="7"/>
    </row>
    <row r="35" spans="1:29">
      <c r="A35" s="18">
        <v>43830</v>
      </c>
      <c r="B35" s="37">
        <f t="shared" si="0"/>
        <v>0</v>
      </c>
      <c r="C35" s="29"/>
      <c r="D35" s="29">
        <v>0</v>
      </c>
      <c r="E35" s="38"/>
      <c r="F35" s="39"/>
      <c r="G35" s="47"/>
      <c r="H35" s="24">
        <f t="shared" si="2"/>
        <v>1512231.1883942657</v>
      </c>
      <c r="I35" s="41">
        <f t="shared" si="5"/>
        <v>1520000</v>
      </c>
      <c r="J35" s="29">
        <f t="shared" si="6"/>
        <v>10977.777777777777</v>
      </c>
      <c r="K35" s="42">
        <f t="shared" si="7"/>
        <v>-18746.589383512088</v>
      </c>
      <c r="L35" s="33">
        <f t="shared" si="3"/>
        <v>0</v>
      </c>
      <c r="M35" s="196">
        <f t="shared" si="28"/>
        <v>11036.913001386474</v>
      </c>
      <c r="N35" s="29">
        <f t="shared" si="29"/>
        <v>10977.777777777777</v>
      </c>
      <c r="O35" s="30">
        <f t="shared" si="4"/>
        <v>59.135223608696833</v>
      </c>
      <c r="P35" s="43"/>
      <c r="Q35" s="44"/>
      <c r="R35" s="33"/>
      <c r="V35" s="45"/>
      <c r="W35" s="7"/>
      <c r="X35" s="7"/>
      <c r="Y35" s="46"/>
      <c r="Z35" s="7">
        <f t="shared" si="30"/>
        <v>26433.059644261702</v>
      </c>
      <c r="AA35" s="7"/>
      <c r="AC35" s="7"/>
    </row>
    <row r="36" spans="1:29">
      <c r="A36" s="18">
        <v>43850</v>
      </c>
      <c r="B36" s="37">
        <f t="shared" si="0"/>
        <v>-27022.222222222223</v>
      </c>
      <c r="C36" s="29"/>
      <c r="D36" s="29">
        <f t="shared" ref="D36" si="34">-I34*O$4*(A36-A34)/360</f>
        <v>-27022.222222222223</v>
      </c>
      <c r="E36" s="38"/>
      <c r="F36" s="39"/>
      <c r="G36" s="47"/>
      <c r="H36" s="24">
        <f t="shared" si="2"/>
        <v>1501485.9677745232</v>
      </c>
      <c r="I36" s="41">
        <f t="shared" si="5"/>
        <v>1520000</v>
      </c>
      <c r="J36" s="29">
        <f t="shared" si="6"/>
        <v>0</v>
      </c>
      <c r="K36" s="42">
        <f t="shared" si="7"/>
        <v>-18514.032225476785</v>
      </c>
      <c r="L36" s="33">
        <f t="shared" si="3"/>
        <v>0</v>
      </c>
      <c r="M36" s="196">
        <f t="shared" si="26"/>
        <v>16277.001602479748</v>
      </c>
      <c r="N36" s="29">
        <f t="shared" si="27"/>
        <v>16044.444444444445</v>
      </c>
      <c r="O36" s="30">
        <f t="shared" si="4"/>
        <v>232.55715803530256</v>
      </c>
      <c r="P36" s="43"/>
      <c r="Q36" s="44"/>
      <c r="R36" s="33"/>
      <c r="V36" s="45"/>
      <c r="W36" s="7"/>
      <c r="X36" s="7"/>
      <c r="Y36" s="46"/>
      <c r="Z36" s="7"/>
      <c r="AA36" s="7"/>
      <c r="AC36" s="7"/>
    </row>
    <row r="37" spans="1:29">
      <c r="A37" s="18">
        <v>43861</v>
      </c>
      <c r="B37" s="37">
        <f t="shared" si="0"/>
        <v>0</v>
      </c>
      <c r="C37" s="29"/>
      <c r="D37" s="29">
        <v>0</v>
      </c>
      <c r="E37" s="38"/>
      <c r="F37" s="39"/>
      <c r="G37" s="47"/>
      <c r="H37" s="24">
        <f t="shared" si="2"/>
        <v>1511672.9932022062</v>
      </c>
      <c r="I37" s="41">
        <f t="shared" si="5"/>
        <v>1520000</v>
      </c>
      <c r="J37" s="29">
        <f t="shared" si="6"/>
        <v>10133.333333333334</v>
      </c>
      <c r="K37" s="42">
        <f t="shared" si="7"/>
        <v>-18460.340131126963</v>
      </c>
      <c r="L37" s="33">
        <f t="shared" si="3"/>
        <v>0</v>
      </c>
      <c r="M37" s="196">
        <f t="shared" si="28"/>
        <v>10187.025427683158</v>
      </c>
      <c r="N37" s="29">
        <f t="shared" si="29"/>
        <v>10133.333333333334</v>
      </c>
      <c r="O37" s="30">
        <f t="shared" si="4"/>
        <v>53.692094349824401</v>
      </c>
      <c r="P37" s="43"/>
      <c r="Q37" s="44"/>
      <c r="R37" s="33"/>
      <c r="V37" s="45"/>
      <c r="W37" s="7"/>
      <c r="X37" s="7"/>
      <c r="Y37" s="46"/>
      <c r="Z37" s="7">
        <f t="shared" si="30"/>
        <v>26464.027030162906</v>
      </c>
      <c r="AA37" s="7"/>
      <c r="AC37" s="7"/>
    </row>
    <row r="38" spans="1:29">
      <c r="A38" s="18">
        <v>43881</v>
      </c>
      <c r="B38" s="37">
        <f t="shared" si="0"/>
        <v>-26177.777777777777</v>
      </c>
      <c r="C38" s="29"/>
      <c r="D38" s="29">
        <f t="shared" ref="D38" si="35">-I36*O$4*(A38-A36)/360</f>
        <v>-26177.777777777777</v>
      </c>
      <c r="E38" s="38"/>
      <c r="F38" s="39"/>
      <c r="G38" s="47"/>
      <c r="H38" s="24">
        <f t="shared" si="2"/>
        <v>1501766.2088556013</v>
      </c>
      <c r="I38" s="41">
        <f t="shared" si="5"/>
        <v>1520000</v>
      </c>
      <c r="J38" s="29">
        <f t="shared" si="6"/>
        <v>0</v>
      </c>
      <c r="K38" s="42">
        <f t="shared" si="7"/>
        <v>-18233.791144398652</v>
      </c>
      <c r="L38" s="33">
        <f t="shared" si="3"/>
        <v>0</v>
      </c>
      <c r="M38" s="196">
        <f t="shared" si="26"/>
        <v>16270.993431172756</v>
      </c>
      <c r="N38" s="29">
        <f t="shared" si="27"/>
        <v>16044.444444444445</v>
      </c>
      <c r="O38" s="30">
        <f t="shared" si="4"/>
        <v>226.54898672831041</v>
      </c>
      <c r="P38" s="43"/>
      <c r="Q38" s="44"/>
      <c r="R38" s="33"/>
      <c r="V38" s="45"/>
      <c r="W38" s="7"/>
      <c r="X38" s="7"/>
      <c r="Y38" s="46"/>
      <c r="Z38" s="7"/>
      <c r="AA38" s="7"/>
      <c r="AC38" s="7"/>
    </row>
    <row r="39" spans="1:29">
      <c r="A39" s="18">
        <v>43890</v>
      </c>
      <c r="B39" s="37">
        <f t="shared" si="0"/>
        <v>0</v>
      </c>
      <c r="C39" s="29"/>
      <c r="D39" s="29">
        <v>0</v>
      </c>
      <c r="E39" s="38"/>
      <c r="F39" s="39"/>
      <c r="G39" s="47"/>
      <c r="H39" s="24">
        <f t="shared" si="2"/>
        <v>1510252.1932131923</v>
      </c>
      <c r="I39" s="41">
        <f t="shared" si="5"/>
        <v>1520000</v>
      </c>
      <c r="J39" s="29">
        <f t="shared" si="6"/>
        <v>8444.4444444444453</v>
      </c>
      <c r="K39" s="42">
        <f t="shared" si="7"/>
        <v>-18192.25123125215</v>
      </c>
      <c r="L39" s="33">
        <f t="shared" si="3"/>
        <v>0</v>
      </c>
      <c r="M39" s="196">
        <f t="shared" si="28"/>
        <v>8485.9843575909454</v>
      </c>
      <c r="N39" s="29">
        <f t="shared" si="29"/>
        <v>8444.4444444444453</v>
      </c>
      <c r="O39" s="30">
        <f t="shared" si="4"/>
        <v>41.539913146500112</v>
      </c>
      <c r="P39" s="43"/>
      <c r="Q39" s="44"/>
      <c r="R39" s="33"/>
      <c r="V39" s="45"/>
      <c r="W39" s="7"/>
      <c r="X39" s="7"/>
      <c r="Y39" s="46"/>
      <c r="Z39" s="7">
        <f t="shared" si="30"/>
        <v>24756.977788763703</v>
      </c>
      <c r="AA39" s="7"/>
      <c r="AC39" s="7"/>
    </row>
    <row r="40" spans="1:29">
      <c r="A40" s="18">
        <v>43909</v>
      </c>
      <c r="B40" s="37">
        <f t="shared" si="0"/>
        <v>-23644.444444444445</v>
      </c>
      <c r="C40" s="29"/>
      <c r="D40" s="29">
        <f t="shared" ref="D40" si="36">-I38*O$4*(A40-A38)/360</f>
        <v>-23644.444444444445</v>
      </c>
      <c r="E40" s="38"/>
      <c r="F40" s="39"/>
      <c r="G40" s="47"/>
      <c r="H40" s="24">
        <f t="shared" si="2"/>
        <v>1502003.5404049531</v>
      </c>
      <c r="I40" s="41">
        <f t="shared" si="5"/>
        <v>1520000</v>
      </c>
      <c r="J40" s="29">
        <f t="shared" si="6"/>
        <v>0</v>
      </c>
      <c r="K40" s="42">
        <f t="shared" si="7"/>
        <v>-17996.459595046901</v>
      </c>
      <c r="L40" s="33">
        <f t="shared" si="3"/>
        <v>0</v>
      </c>
      <c r="M40" s="196">
        <f t="shared" si="26"/>
        <v>15395.791636205251</v>
      </c>
      <c r="N40" s="29">
        <f t="shared" si="27"/>
        <v>15200</v>
      </c>
      <c r="O40" s="30">
        <f t="shared" si="4"/>
        <v>195.79163620525105</v>
      </c>
      <c r="P40" s="43"/>
      <c r="Q40" s="44"/>
      <c r="R40" s="33"/>
      <c r="V40" s="45"/>
      <c r="W40" s="7"/>
      <c r="X40" s="7"/>
      <c r="Y40" s="46"/>
      <c r="Z40" s="7"/>
      <c r="AA40" s="7"/>
      <c r="AC40" s="7"/>
    </row>
    <row r="41" spans="1:29">
      <c r="A41" s="18">
        <v>43921</v>
      </c>
      <c r="B41" s="37">
        <f t="shared" si="0"/>
        <v>0</v>
      </c>
      <c r="C41" s="29"/>
      <c r="D41" s="29">
        <v>0</v>
      </c>
      <c r="E41" s="38"/>
      <c r="F41" s="39"/>
      <c r="G41" s="47"/>
      <c r="H41" s="24">
        <f t="shared" si="2"/>
        <v>1513046.4031942382</v>
      </c>
      <c r="I41" s="41">
        <f t="shared" si="5"/>
        <v>1520000</v>
      </c>
      <c r="J41" s="29">
        <f t="shared" si="6"/>
        <v>10977.777777777777</v>
      </c>
      <c r="K41" s="42">
        <f t="shared" si="7"/>
        <v>-17931.374583539509</v>
      </c>
      <c r="L41" s="33">
        <f t="shared" si="3"/>
        <v>0</v>
      </c>
      <c r="M41" s="196">
        <f t="shared" si="28"/>
        <v>11042.862789285171</v>
      </c>
      <c r="N41" s="29">
        <f t="shared" si="29"/>
        <v>10977.777777777777</v>
      </c>
      <c r="O41" s="30">
        <f t="shared" si="4"/>
        <v>65.085011507393574</v>
      </c>
      <c r="P41" s="43"/>
      <c r="Q41" s="44"/>
      <c r="R41" s="33"/>
      <c r="V41" s="45"/>
      <c r="W41" s="7"/>
      <c r="X41" s="7"/>
      <c r="Y41" s="46"/>
      <c r="Z41" s="7">
        <f t="shared" si="30"/>
        <v>26438.654425490422</v>
      </c>
      <c r="AA41" s="7"/>
      <c r="AC41" s="7"/>
    </row>
    <row r="42" spans="1:29">
      <c r="A42" s="18">
        <v>43941</v>
      </c>
      <c r="B42" s="37">
        <f t="shared" si="0"/>
        <v>-27022.222222222223</v>
      </c>
      <c r="C42" s="29"/>
      <c r="D42" s="29">
        <f t="shared" ref="D42" si="37">-I40*O$4*(A42-A40)/360</f>
        <v>-27022.222222222223</v>
      </c>
      <c r="E42" s="38"/>
      <c r="F42" s="39"/>
      <c r="G42" s="47"/>
      <c r="H42" s="24">
        <f t="shared" si="2"/>
        <v>1502309.9571935537</v>
      </c>
      <c r="I42" s="41">
        <f t="shared" si="5"/>
        <v>1520000</v>
      </c>
      <c r="J42" s="29">
        <f t="shared" si="6"/>
        <v>0</v>
      </c>
      <c r="K42" s="42">
        <f t="shared" si="7"/>
        <v>-17690.042806446385</v>
      </c>
      <c r="L42" s="33">
        <f t="shared" si="3"/>
        <v>0</v>
      </c>
      <c r="M42" s="196">
        <f t="shared" si="26"/>
        <v>16285.77622153757</v>
      </c>
      <c r="N42" s="29">
        <f t="shared" si="27"/>
        <v>16044.444444444445</v>
      </c>
      <c r="O42" s="30">
        <f t="shared" si="4"/>
        <v>241.3317770931244</v>
      </c>
      <c r="P42" s="43"/>
      <c r="Q42" s="44"/>
      <c r="R42" s="33"/>
      <c r="V42" s="45"/>
      <c r="W42" s="7"/>
      <c r="X42" s="7"/>
      <c r="Y42" s="46"/>
      <c r="Z42" s="7"/>
      <c r="AA42" s="7"/>
      <c r="AC42" s="7"/>
    </row>
    <row r="43" spans="1:29">
      <c r="A43" s="18">
        <v>43951</v>
      </c>
      <c r="B43" s="37">
        <f t="shared" si="0"/>
        <v>0</v>
      </c>
      <c r="C43" s="29"/>
      <c r="D43" s="29">
        <v>0</v>
      </c>
      <c r="E43" s="38"/>
      <c r="F43" s="39"/>
      <c r="G43" s="47"/>
      <c r="H43" s="24">
        <f t="shared" si="2"/>
        <v>1511650.5536097165</v>
      </c>
      <c r="I43" s="41">
        <f t="shared" si="5"/>
        <v>1520000</v>
      </c>
      <c r="J43" s="29">
        <f t="shared" si="6"/>
        <v>9288.8888888888887</v>
      </c>
      <c r="K43" s="42">
        <f t="shared" si="7"/>
        <v>-17638.33527917257</v>
      </c>
      <c r="L43" s="33">
        <f t="shared" si="3"/>
        <v>0</v>
      </c>
      <c r="M43" s="196">
        <f t="shared" si="28"/>
        <v>9340.5964161627035</v>
      </c>
      <c r="N43" s="29">
        <f t="shared" si="29"/>
        <v>9288.8888888888887</v>
      </c>
      <c r="O43" s="30">
        <f t="shared" si="4"/>
        <v>51.707527273814776</v>
      </c>
      <c r="P43" s="43"/>
      <c r="Q43" s="44"/>
      <c r="R43" s="33"/>
      <c r="V43" s="45"/>
      <c r="W43" s="7"/>
      <c r="X43" s="7"/>
      <c r="Y43" s="46"/>
      <c r="Z43" s="7">
        <f t="shared" si="30"/>
        <v>25626.372637700275</v>
      </c>
      <c r="AA43" s="7"/>
      <c r="AC43" s="7"/>
    </row>
    <row r="44" spans="1:29">
      <c r="A44" s="18">
        <v>43971</v>
      </c>
      <c r="B44" s="37">
        <f t="shared" si="0"/>
        <v>-25333.333333333332</v>
      </c>
      <c r="C44" s="29"/>
      <c r="D44" s="29">
        <f t="shared" ref="D44" si="38">-I42*O$4*(A44-A42)/360</f>
        <v>-25333.333333333332</v>
      </c>
      <c r="E44" s="38"/>
      <c r="F44" s="39"/>
      <c r="G44" s="47"/>
      <c r="H44" s="24">
        <f t="shared" si="2"/>
        <v>1502587.9721775001</v>
      </c>
      <c r="I44" s="41">
        <f t="shared" si="5"/>
        <v>1520000</v>
      </c>
      <c r="J44" s="29">
        <f t="shared" si="6"/>
        <v>0</v>
      </c>
      <c r="K44" s="42">
        <f t="shared" si="7"/>
        <v>-17412.027822499796</v>
      </c>
      <c r="L44" s="33">
        <f t="shared" si="3"/>
        <v>0</v>
      </c>
      <c r="M44" s="196">
        <f t="shared" si="26"/>
        <v>16270.751901117221</v>
      </c>
      <c r="N44" s="29">
        <f t="shared" si="27"/>
        <v>16044.444444444445</v>
      </c>
      <c r="O44" s="30">
        <f t="shared" si="4"/>
        <v>226.30745667277552</v>
      </c>
      <c r="P44" s="43"/>
      <c r="Q44" s="44"/>
      <c r="R44" s="33"/>
      <c r="V44" s="45"/>
      <c r="W44" s="7"/>
      <c r="X44" s="7"/>
      <c r="Y44" s="46"/>
      <c r="Z44" s="7"/>
      <c r="AA44" s="7"/>
      <c r="AC44" s="7"/>
    </row>
    <row r="45" spans="1:29">
      <c r="A45" s="18">
        <v>43982</v>
      </c>
      <c r="B45" s="37">
        <f t="shared" si="0"/>
        <v>0</v>
      </c>
      <c r="C45" s="29"/>
      <c r="D45" s="29">
        <v>0</v>
      </c>
      <c r="E45" s="38"/>
      <c r="F45" s="39"/>
      <c r="G45" s="47"/>
      <c r="H45" s="24">
        <f t="shared" si="2"/>
        <v>1512782.4742963517</v>
      </c>
      <c r="I45" s="41">
        <f t="shared" si="5"/>
        <v>1520000</v>
      </c>
      <c r="J45" s="29">
        <f t="shared" si="6"/>
        <v>10133.333333333334</v>
      </c>
      <c r="K45" s="42">
        <f t="shared" si="7"/>
        <v>-17350.859036981699</v>
      </c>
      <c r="L45" s="33">
        <f t="shared" si="3"/>
        <v>0</v>
      </c>
      <c r="M45" s="196">
        <f t="shared" si="28"/>
        <v>10194.502118851431</v>
      </c>
      <c r="N45" s="29">
        <f t="shared" si="29"/>
        <v>10133.333333333334</v>
      </c>
      <c r="O45" s="30">
        <f t="shared" si="4"/>
        <v>61.168785518097138</v>
      </c>
      <c r="P45" s="43"/>
      <c r="Q45" s="44"/>
      <c r="R45" s="33"/>
      <c r="V45" s="45"/>
      <c r="W45" s="7"/>
      <c r="X45" s="7"/>
      <c r="Y45" s="46"/>
      <c r="Z45" s="7">
        <f t="shared" si="30"/>
        <v>26465.254019968652</v>
      </c>
      <c r="AA45" s="7"/>
      <c r="AC45" s="7"/>
    </row>
    <row r="46" spans="1:29">
      <c r="A46" s="18">
        <v>44002</v>
      </c>
      <c r="B46" s="37">
        <f t="shared" si="0"/>
        <v>-26177.777777777777</v>
      </c>
      <c r="C46" s="29"/>
      <c r="D46" s="29">
        <f t="shared" ref="D46" si="39">-I44*O$4*(A46-A44)/360</f>
        <v>-26177.777777777777</v>
      </c>
      <c r="E46" s="38"/>
      <c r="F46" s="39"/>
      <c r="G46" s="47"/>
      <c r="H46" s="24">
        <f t="shared" si="2"/>
        <v>1502887.6319237556</v>
      </c>
      <c r="I46" s="41">
        <f t="shared" si="5"/>
        <v>1520000</v>
      </c>
      <c r="J46" s="29">
        <f t="shared" si="6"/>
        <v>0</v>
      </c>
      <c r="K46" s="42">
        <f t="shared" si="7"/>
        <v>-17112.368076244442</v>
      </c>
      <c r="L46" s="33">
        <f t="shared" si="3"/>
        <v>0</v>
      </c>
      <c r="M46" s="196">
        <f t="shared" si="26"/>
        <v>16282.935405181704</v>
      </c>
      <c r="N46" s="29">
        <f t="shared" si="27"/>
        <v>16044.444444444445</v>
      </c>
      <c r="O46" s="30">
        <f t="shared" si="4"/>
        <v>238.49096073725923</v>
      </c>
      <c r="P46" s="43"/>
      <c r="Q46" s="44"/>
      <c r="R46" s="33"/>
      <c r="V46" s="45"/>
      <c r="W46" s="7"/>
      <c r="X46" s="7"/>
      <c r="Y46" s="46"/>
      <c r="Z46" s="7"/>
      <c r="AA46" s="7"/>
      <c r="AC46" s="7"/>
    </row>
    <row r="47" spans="1:29">
      <c r="A47" s="18">
        <v>44012</v>
      </c>
      <c r="B47" s="37">
        <f t="shared" si="0"/>
        <v>0</v>
      </c>
      <c r="C47" s="29"/>
      <c r="D47" s="29">
        <v>0</v>
      </c>
      <c r="E47" s="38"/>
      <c r="F47" s="39"/>
      <c r="G47" s="47"/>
      <c r="H47" s="24">
        <f t="shared" si="2"/>
        <v>1512231.8200264999</v>
      </c>
      <c r="I47" s="41">
        <f t="shared" si="5"/>
        <v>1520000</v>
      </c>
      <c r="J47" s="29">
        <f t="shared" si="6"/>
        <v>9288.8888888888887</v>
      </c>
      <c r="K47" s="42">
        <f t="shared" si="7"/>
        <v>-17057.068862389042</v>
      </c>
      <c r="L47" s="33">
        <f t="shared" si="3"/>
        <v>0</v>
      </c>
      <c r="M47" s="196">
        <f t="shared" si="28"/>
        <v>9344.1881027442887</v>
      </c>
      <c r="N47" s="29">
        <f t="shared" si="29"/>
        <v>9288.8888888888887</v>
      </c>
      <c r="O47" s="30">
        <f t="shared" si="4"/>
        <v>55.299213855400012</v>
      </c>
      <c r="P47" s="43"/>
      <c r="Q47" s="44"/>
      <c r="R47" s="33"/>
      <c r="V47" s="45"/>
      <c r="W47" s="7"/>
      <c r="X47" s="7"/>
      <c r="Y47" s="46"/>
      <c r="Z47" s="7">
        <f t="shared" si="30"/>
        <v>25627.123507925993</v>
      </c>
      <c r="AA47" s="7"/>
      <c r="AC47" s="7"/>
    </row>
    <row r="48" spans="1:29">
      <c r="A48" s="18">
        <v>44030</v>
      </c>
      <c r="B48" s="37">
        <f t="shared" si="0"/>
        <v>-23644.444444444445</v>
      </c>
      <c r="C48" s="29"/>
      <c r="D48" s="29">
        <f t="shared" ref="D48" si="40">-I46*O$4*(A48-A46)/360</f>
        <v>-23644.444444444445</v>
      </c>
      <c r="E48" s="38"/>
      <c r="F48" s="39"/>
      <c r="G48" s="47"/>
      <c r="H48" s="24">
        <f t="shared" si="2"/>
        <v>1503142.796857791</v>
      </c>
      <c r="I48" s="41">
        <f t="shared" si="5"/>
        <v>1520000</v>
      </c>
      <c r="J48" s="29">
        <f t="shared" si="6"/>
        <v>0</v>
      </c>
      <c r="K48" s="42">
        <f t="shared" si="7"/>
        <v>-16857.20314220888</v>
      </c>
      <c r="L48" s="33">
        <f t="shared" si="3"/>
        <v>0</v>
      </c>
      <c r="M48" s="196">
        <f t="shared" si="26"/>
        <v>14555.421275735716</v>
      </c>
      <c r="N48" s="29">
        <f t="shared" si="27"/>
        <v>14355.555555555555</v>
      </c>
      <c r="O48" s="30">
        <f t="shared" si="4"/>
        <v>199.86572018016159</v>
      </c>
      <c r="P48" s="43"/>
      <c r="Q48" s="44"/>
      <c r="R48" s="33"/>
      <c r="V48" s="45"/>
      <c r="W48" s="7"/>
      <c r="X48" s="7"/>
      <c r="Y48" s="46"/>
      <c r="Z48" s="7"/>
      <c r="AA48" s="7"/>
      <c r="AC48" s="7"/>
    </row>
    <row r="49" spans="1:29">
      <c r="A49" s="18">
        <v>44043</v>
      </c>
      <c r="B49" s="37">
        <f t="shared" si="0"/>
        <v>0</v>
      </c>
      <c r="C49" s="29"/>
      <c r="D49" s="29">
        <v>0</v>
      </c>
      <c r="E49" s="38"/>
      <c r="F49" s="39"/>
      <c r="G49" s="47"/>
      <c r="H49" s="24">
        <f t="shared" si="2"/>
        <v>1515047.4886313255</v>
      </c>
      <c r="I49" s="41">
        <f t="shared" si="5"/>
        <v>1520000</v>
      </c>
      <c r="J49" s="29">
        <f t="shared" si="6"/>
        <v>11822.222222222223</v>
      </c>
      <c r="K49" s="42">
        <f t="shared" si="7"/>
        <v>-16774.733590896642</v>
      </c>
      <c r="L49" s="33">
        <f t="shared" si="3"/>
        <v>0</v>
      </c>
      <c r="M49" s="196">
        <f t="shared" si="28"/>
        <v>11904.691773534463</v>
      </c>
      <c r="N49" s="29">
        <f t="shared" si="29"/>
        <v>11822.222222222223</v>
      </c>
      <c r="O49" s="30">
        <f t="shared" si="4"/>
        <v>82.469551312240583</v>
      </c>
      <c r="P49" s="43"/>
      <c r="Q49" s="44"/>
      <c r="R49" s="33"/>
      <c r="V49" s="45"/>
      <c r="W49" s="7"/>
      <c r="X49" s="7"/>
      <c r="Y49" s="46"/>
      <c r="Z49" s="7">
        <f t="shared" si="30"/>
        <v>26460.113049270178</v>
      </c>
      <c r="AA49" s="7"/>
      <c r="AC49" s="7"/>
    </row>
    <row r="50" spans="1:29">
      <c r="A50" s="18">
        <v>44063</v>
      </c>
      <c r="B50" s="37">
        <f t="shared" si="0"/>
        <v>-27866.666666666668</v>
      </c>
      <c r="C50" s="29"/>
      <c r="D50" s="29">
        <f t="shared" ref="D50" si="41">-I48*O$4*(A50-A48)/360</f>
        <v>-27866.666666666668</v>
      </c>
      <c r="E50" s="38"/>
      <c r="F50" s="39"/>
      <c r="G50" s="47"/>
      <c r="H50" s="24">
        <f t="shared" si="2"/>
        <v>1503488.1370032213</v>
      </c>
      <c r="I50" s="41">
        <f t="shared" si="5"/>
        <v>1520000</v>
      </c>
      <c r="J50" s="29">
        <f t="shared" si="6"/>
        <v>0</v>
      </c>
      <c r="K50" s="42">
        <f t="shared" si="7"/>
        <v>-16511.862996778618</v>
      </c>
      <c r="L50" s="33">
        <f t="shared" si="3"/>
        <v>0</v>
      </c>
      <c r="M50" s="196">
        <f t="shared" si="26"/>
        <v>16307.315038562469</v>
      </c>
      <c r="N50" s="29">
        <f t="shared" si="27"/>
        <v>16044.444444444445</v>
      </c>
      <c r="O50" s="30">
        <f t="shared" si="4"/>
        <v>262.87059411802329</v>
      </c>
      <c r="P50" s="43"/>
      <c r="Q50" s="44"/>
      <c r="R50" s="33"/>
      <c r="V50" s="45"/>
      <c r="W50" s="7"/>
      <c r="X50" s="7"/>
      <c r="Y50" s="46"/>
      <c r="Z50" s="7"/>
      <c r="AA50" s="7"/>
      <c r="AC50" s="7"/>
    </row>
    <row r="51" spans="1:29">
      <c r="A51" s="18">
        <v>44074</v>
      </c>
      <c r="B51" s="37">
        <f t="shared" si="0"/>
        <v>0</v>
      </c>
      <c r="C51" s="29"/>
      <c r="D51" s="29">
        <v>0</v>
      </c>
      <c r="E51" s="38"/>
      <c r="F51" s="39"/>
      <c r="G51" s="47"/>
      <c r="H51" s="24">
        <f t="shared" si="2"/>
        <v>1513688.7464065666</v>
      </c>
      <c r="I51" s="41">
        <f t="shared" si="5"/>
        <v>1520000</v>
      </c>
      <c r="J51" s="29">
        <f t="shared" si="6"/>
        <v>10133.333333333334</v>
      </c>
      <c r="K51" s="42">
        <f t="shared" si="7"/>
        <v>-16444.586926766668</v>
      </c>
      <c r="L51" s="33">
        <f t="shared" si="3"/>
        <v>0</v>
      </c>
      <c r="M51" s="196">
        <f t="shared" si="28"/>
        <v>10200.609403345285</v>
      </c>
      <c r="N51" s="29">
        <f t="shared" si="29"/>
        <v>10133.333333333334</v>
      </c>
      <c r="O51" s="30">
        <f t="shared" si="4"/>
        <v>67.276070011950651</v>
      </c>
      <c r="P51" s="43"/>
      <c r="Q51" s="44"/>
      <c r="R51" s="33"/>
      <c r="V51" s="45"/>
      <c r="W51" s="7"/>
      <c r="X51" s="7"/>
      <c r="Y51" s="46"/>
      <c r="Z51" s="7">
        <f t="shared" si="30"/>
        <v>26507.924441907751</v>
      </c>
      <c r="AA51" s="7"/>
      <c r="AC51" s="7"/>
    </row>
    <row r="52" spans="1:29">
      <c r="A52" s="18">
        <v>44093</v>
      </c>
      <c r="B52" s="37">
        <f t="shared" si="0"/>
        <v>-25333.333333333332</v>
      </c>
      <c r="C52" s="29"/>
      <c r="D52" s="29">
        <f t="shared" ref="D52" si="42">-I50*O$4*(A52-A50)/360</f>
        <v>-25333.333333333332</v>
      </c>
      <c r="E52" s="38"/>
      <c r="F52" s="39"/>
      <c r="G52" s="47"/>
      <c r="H52" s="24">
        <f t="shared" si="2"/>
        <v>1503786.2375715987</v>
      </c>
      <c r="I52" s="41">
        <f t="shared" si="5"/>
        <v>1520000</v>
      </c>
      <c r="J52" s="29">
        <f t="shared" si="6"/>
        <v>0</v>
      </c>
      <c r="K52" s="42">
        <f t="shared" si="7"/>
        <v>-16213.762428401251</v>
      </c>
      <c r="L52" s="33">
        <f t="shared" si="3"/>
        <v>0</v>
      </c>
      <c r="M52" s="196">
        <f t="shared" si="26"/>
        <v>15430.824498365417</v>
      </c>
      <c r="N52" s="29">
        <f t="shared" si="27"/>
        <v>15200</v>
      </c>
      <c r="O52" s="30">
        <f t="shared" si="4"/>
        <v>230.82449836541673</v>
      </c>
      <c r="P52" s="43"/>
      <c r="Q52" s="44"/>
      <c r="R52" s="33"/>
      <c r="V52" s="45"/>
      <c r="W52" s="7"/>
      <c r="X52" s="7"/>
      <c r="Y52" s="46"/>
      <c r="Z52" s="7"/>
      <c r="AA52" s="7"/>
      <c r="AC52" s="7"/>
    </row>
    <row r="53" spans="1:29">
      <c r="A53" s="18">
        <v>44104</v>
      </c>
      <c r="B53" s="37">
        <f t="shared" si="0"/>
        <v>0</v>
      </c>
      <c r="C53" s="29"/>
      <c r="D53" s="29">
        <v>0</v>
      </c>
      <c r="E53" s="38"/>
      <c r="F53" s="39"/>
      <c r="G53" s="47"/>
      <c r="H53" s="24">
        <f t="shared" si="2"/>
        <v>1513988.8694767423</v>
      </c>
      <c r="I53" s="41">
        <f t="shared" si="5"/>
        <v>1520000</v>
      </c>
      <c r="J53" s="29">
        <f t="shared" si="6"/>
        <v>10133.333333333334</v>
      </c>
      <c r="K53" s="42">
        <f t="shared" si="7"/>
        <v>-16144.463856590919</v>
      </c>
      <c r="L53" s="33">
        <f t="shared" si="3"/>
        <v>0</v>
      </c>
      <c r="M53" s="196">
        <f t="shared" si="28"/>
        <v>10202.631905143666</v>
      </c>
      <c r="N53" s="29">
        <f t="shared" si="29"/>
        <v>10133.333333333334</v>
      </c>
      <c r="O53" s="30">
        <f t="shared" si="4"/>
        <v>69.29857181033185</v>
      </c>
      <c r="P53" s="43"/>
      <c r="Q53" s="44"/>
      <c r="R53" s="33"/>
      <c r="V53" s="45"/>
      <c r="W53" s="7"/>
      <c r="X53" s="7"/>
      <c r="Y53" s="46"/>
      <c r="Z53" s="7">
        <f t="shared" si="30"/>
        <v>25633.456403509081</v>
      </c>
      <c r="AA53" s="7"/>
      <c r="AC53" s="7"/>
    </row>
    <row r="54" spans="1:29">
      <c r="A54" s="18">
        <v>44124</v>
      </c>
      <c r="B54" s="37">
        <f t="shared" si="0"/>
        <v>-26177.777777777777</v>
      </c>
      <c r="C54" s="29"/>
      <c r="D54" s="29">
        <f t="shared" ref="D54" si="43">-I52*O$4*(A54-A52)/360</f>
        <v>-26177.777777777777</v>
      </c>
      <c r="E54" s="38"/>
      <c r="F54" s="39"/>
      <c r="G54" s="47"/>
      <c r="H54" s="24">
        <f t="shared" si="2"/>
        <v>1504107.0122194085</v>
      </c>
      <c r="I54" s="41">
        <f t="shared" si="5"/>
        <v>1520000</v>
      </c>
      <c r="J54" s="29">
        <f t="shared" si="6"/>
        <v>0</v>
      </c>
      <c r="K54" s="42">
        <f t="shared" si="7"/>
        <v>-15892.987780591426</v>
      </c>
      <c r="L54" s="33">
        <f t="shared" si="3"/>
        <v>0</v>
      </c>
      <c r="M54" s="196">
        <f t="shared" si="26"/>
        <v>16295.920520443939</v>
      </c>
      <c r="N54" s="29">
        <f t="shared" si="27"/>
        <v>16044.444444444445</v>
      </c>
      <c r="O54" s="30">
        <f t="shared" si="4"/>
        <v>251.47607599949333</v>
      </c>
      <c r="P54" s="43"/>
      <c r="Q54" s="44"/>
      <c r="R54" s="33"/>
      <c r="V54" s="45"/>
      <c r="W54" s="7"/>
      <c r="X54" s="7"/>
      <c r="Y54" s="46"/>
      <c r="Z54" s="7"/>
      <c r="AA54" s="7"/>
      <c r="AC54" s="7"/>
    </row>
    <row r="55" spans="1:29">
      <c r="A55" s="18">
        <v>44135</v>
      </c>
      <c r="B55" s="37">
        <f t="shared" si="0"/>
        <v>0</v>
      </c>
      <c r="C55" s="29"/>
      <c r="D55" s="29">
        <v>0</v>
      </c>
      <c r="E55" s="38"/>
      <c r="F55" s="39"/>
      <c r="G55" s="47"/>
      <c r="H55" s="24">
        <f t="shared" si="2"/>
        <v>1514311.8204615703</v>
      </c>
      <c r="I55" s="41">
        <f t="shared" si="5"/>
        <v>1520000</v>
      </c>
      <c r="J55" s="29">
        <f t="shared" si="6"/>
        <v>10133.333333333334</v>
      </c>
      <c r="K55" s="42">
        <f t="shared" si="7"/>
        <v>-15821.512871763014</v>
      </c>
      <c r="L55" s="33">
        <f t="shared" si="3"/>
        <v>0</v>
      </c>
      <c r="M55" s="196">
        <f t="shared" si="28"/>
        <v>10204.808242161746</v>
      </c>
      <c r="N55" s="29">
        <f t="shared" si="29"/>
        <v>10133.333333333334</v>
      </c>
      <c r="O55" s="30">
        <f t="shared" si="4"/>
        <v>71.474908828411571</v>
      </c>
      <c r="P55" s="43"/>
      <c r="Q55" s="44"/>
      <c r="R55" s="33"/>
      <c r="V55" s="45"/>
      <c r="W55" s="7"/>
      <c r="X55" s="7"/>
      <c r="Y55" s="46"/>
      <c r="Z55" s="7">
        <f t="shared" si="30"/>
        <v>26500.728762605686</v>
      </c>
      <c r="AA55" s="7"/>
      <c r="AC55" s="7"/>
    </row>
    <row r="56" spans="1:29">
      <c r="A56" s="18">
        <v>44155</v>
      </c>
      <c r="B56" s="37">
        <f t="shared" si="0"/>
        <v>-26177.777777777777</v>
      </c>
      <c r="C56" s="29"/>
      <c r="D56" s="29">
        <f t="shared" ref="D56" si="44">-I54*O$4*(A56-A54)/360</f>
        <v>-26177.777777777777</v>
      </c>
      <c r="E56" s="38"/>
      <c r="F56" s="39"/>
      <c r="G56" s="47"/>
      <c r="H56" s="24">
        <f t="shared" si="2"/>
        <v>1504433.4393087751</v>
      </c>
      <c r="I56" s="41">
        <f t="shared" si="5"/>
        <v>1520000</v>
      </c>
      <c r="J56" s="29">
        <f t="shared" si="6"/>
        <v>0</v>
      </c>
      <c r="K56" s="42">
        <f t="shared" si="7"/>
        <v>-15566.560691224804</v>
      </c>
      <c r="L56" s="33">
        <f t="shared" si="3"/>
        <v>0</v>
      </c>
      <c r="M56" s="196">
        <f t="shared" si="26"/>
        <v>16299.396624982655</v>
      </c>
      <c r="N56" s="29">
        <f t="shared" si="27"/>
        <v>16044.444444444445</v>
      </c>
      <c r="O56" s="30">
        <f t="shared" si="4"/>
        <v>254.95218053821009</v>
      </c>
      <c r="P56" s="43"/>
      <c r="Q56" s="44"/>
      <c r="R56" s="33"/>
      <c r="V56" s="45"/>
      <c r="W56" s="7"/>
      <c r="X56" s="7"/>
      <c r="Y56" s="46"/>
      <c r="Z56" s="7"/>
      <c r="AA56" s="7"/>
      <c r="AC56" s="7"/>
    </row>
    <row r="57" spans="1:29">
      <c r="A57" s="18">
        <v>44165</v>
      </c>
      <c r="B57" s="37">
        <f t="shared" si="0"/>
        <v>0</v>
      </c>
      <c r="C57" s="29"/>
      <c r="D57" s="29">
        <v>0</v>
      </c>
      <c r="E57" s="38"/>
      <c r="F57" s="39"/>
      <c r="G57" s="47"/>
      <c r="H57" s="24">
        <f t="shared" si="2"/>
        <v>1513787.2384527375</v>
      </c>
      <c r="I57" s="41">
        <f t="shared" si="5"/>
        <v>1520000</v>
      </c>
      <c r="J57" s="29">
        <f t="shared" si="6"/>
        <v>9288.8888888888887</v>
      </c>
      <c r="K57" s="42">
        <f t="shared" si="7"/>
        <v>-15501.650436151544</v>
      </c>
      <c r="L57" s="33">
        <f t="shared" si="3"/>
        <v>0</v>
      </c>
      <c r="M57" s="196">
        <f t="shared" si="28"/>
        <v>9353.7991439621492</v>
      </c>
      <c r="N57" s="29">
        <f t="shared" si="29"/>
        <v>9288.8888888888887</v>
      </c>
      <c r="O57" s="30">
        <f t="shared" si="4"/>
        <v>64.910255073260487</v>
      </c>
      <c r="P57" s="43"/>
      <c r="Q57" s="44"/>
      <c r="R57" s="33"/>
      <c r="V57" s="45"/>
      <c r="W57" s="7"/>
      <c r="X57" s="7"/>
      <c r="Y57" s="46"/>
      <c r="Z57" s="7">
        <f t="shared" si="30"/>
        <v>25653.195768944803</v>
      </c>
      <c r="AA57" s="7"/>
      <c r="AC57" s="7"/>
    </row>
    <row r="58" spans="1:29">
      <c r="A58" s="18">
        <v>44184</v>
      </c>
      <c r="B58" s="37">
        <f t="shared" si="0"/>
        <v>-24488.888888888891</v>
      </c>
      <c r="C58" s="29"/>
      <c r="D58" s="29">
        <f t="shared" ref="D58" si="45">-I56*O$4*(A58-A56)/360</f>
        <v>-24488.888888888891</v>
      </c>
      <c r="E58" s="38"/>
      <c r="F58" s="39"/>
      <c r="G58" s="47"/>
      <c r="H58" s="24">
        <f t="shared" si="2"/>
        <v>1504730.1781084437</v>
      </c>
      <c r="I58" s="41">
        <f t="shared" si="5"/>
        <v>1520000</v>
      </c>
      <c r="J58" s="29">
        <f t="shared" si="6"/>
        <v>0</v>
      </c>
      <c r="K58" s="42">
        <f t="shared" si="7"/>
        <v>-15269.821891556308</v>
      </c>
      <c r="L58" s="33">
        <f t="shared" si="3"/>
        <v>0</v>
      </c>
      <c r="M58" s="196">
        <f t="shared" si="26"/>
        <v>15431.828544595235</v>
      </c>
      <c r="N58" s="29">
        <f t="shared" si="27"/>
        <v>15200</v>
      </c>
      <c r="O58" s="30">
        <f t="shared" si="4"/>
        <v>231.82854459523514</v>
      </c>
      <c r="P58" s="43"/>
      <c r="Q58" s="44"/>
      <c r="R58" s="33"/>
      <c r="V58" s="45"/>
      <c r="W58" s="7"/>
      <c r="X58" s="7"/>
      <c r="Y58" s="46"/>
      <c r="Z58" s="7"/>
      <c r="AA58" s="7"/>
      <c r="AC58" s="7"/>
    </row>
    <row r="59" spans="1:29">
      <c r="A59" s="18">
        <v>44196</v>
      </c>
      <c r="B59" s="37">
        <f t="shared" si="0"/>
        <v>0</v>
      </c>
      <c r="C59" s="29"/>
      <c r="D59" s="29">
        <v>0</v>
      </c>
      <c r="E59" s="38"/>
      <c r="F59" s="39"/>
      <c r="G59" s="47"/>
      <c r="H59" s="24">
        <f t="shared" si="2"/>
        <v>1515793.0873791291</v>
      </c>
      <c r="I59" s="41">
        <f t="shared" si="5"/>
        <v>1520000</v>
      </c>
      <c r="J59" s="29">
        <f t="shared" si="6"/>
        <v>10977.777777777777</v>
      </c>
      <c r="K59" s="42">
        <f t="shared" si="7"/>
        <v>-15184.69039864873</v>
      </c>
      <c r="L59" s="33">
        <f t="shared" si="3"/>
        <v>0</v>
      </c>
      <c r="M59" s="196">
        <f t="shared" si="28"/>
        <v>11062.909270685355</v>
      </c>
      <c r="N59" s="29">
        <f t="shared" si="29"/>
        <v>10977.777777777777</v>
      </c>
      <c r="O59" s="30">
        <f t="shared" si="4"/>
        <v>85.131492907577922</v>
      </c>
      <c r="P59" s="43"/>
      <c r="Q59" s="44"/>
      <c r="R59" s="33"/>
      <c r="V59" s="45"/>
      <c r="W59" s="7"/>
      <c r="X59" s="7"/>
      <c r="Y59" s="46"/>
      <c r="Z59" s="7">
        <f t="shared" si="30"/>
        <v>26494.73781528059</v>
      </c>
      <c r="AA59" s="7"/>
      <c r="AC59" s="7"/>
    </row>
    <row r="60" spans="1:29">
      <c r="A60" s="18">
        <v>44216</v>
      </c>
      <c r="B60" s="37">
        <f t="shared" si="0"/>
        <v>-27022.222222222223</v>
      </c>
      <c r="C60" s="29"/>
      <c r="D60" s="29">
        <f t="shared" ref="D60" si="46">-I58*O$4*(A60-A58)/360</f>
        <v>-27022.222222222223</v>
      </c>
      <c r="E60" s="38"/>
      <c r="F60" s="39"/>
      <c r="G60" s="47"/>
      <c r="H60" s="24">
        <f t="shared" si="2"/>
        <v>1505086.2054974905</v>
      </c>
      <c r="I60" s="41">
        <f t="shared" si="5"/>
        <v>1520000</v>
      </c>
      <c r="J60" s="29">
        <f t="shared" si="6"/>
        <v>0</v>
      </c>
      <c r="K60" s="42">
        <f t="shared" si="7"/>
        <v>-14913.794502509465</v>
      </c>
      <c r="L60" s="33">
        <f t="shared" si="3"/>
        <v>0</v>
      </c>
      <c r="M60" s="196">
        <f t="shared" si="26"/>
        <v>16315.340340583711</v>
      </c>
      <c r="N60" s="29">
        <f t="shared" si="27"/>
        <v>16044.444444444445</v>
      </c>
      <c r="O60" s="30">
        <f t="shared" si="4"/>
        <v>270.89589613926546</v>
      </c>
      <c r="P60" s="43"/>
      <c r="Q60" s="44"/>
      <c r="R60" s="33"/>
      <c r="V60" s="45"/>
      <c r="W60" s="7"/>
      <c r="X60" s="7"/>
      <c r="Y60" s="46"/>
      <c r="Z60" s="7"/>
      <c r="AA60" s="7"/>
      <c r="AC60" s="7"/>
    </row>
    <row r="61" spans="1:29">
      <c r="A61" s="18">
        <v>44227</v>
      </c>
      <c r="B61" s="37">
        <f t="shared" si="0"/>
        <v>0</v>
      </c>
      <c r="C61" s="29"/>
      <c r="D61" s="29">
        <v>0</v>
      </c>
      <c r="E61" s="38"/>
      <c r="F61" s="39"/>
      <c r="G61" s="47"/>
      <c r="H61" s="24">
        <f t="shared" si="2"/>
        <v>1515297.6572028857</v>
      </c>
      <c r="I61" s="41">
        <f t="shared" si="5"/>
        <v>1520000</v>
      </c>
      <c r="J61" s="29">
        <f t="shared" si="6"/>
        <v>10133.333333333334</v>
      </c>
      <c r="K61" s="42">
        <f t="shared" si="7"/>
        <v>-14835.676130447613</v>
      </c>
      <c r="L61" s="33">
        <f t="shared" si="3"/>
        <v>0</v>
      </c>
      <c r="M61" s="196">
        <f t="shared" si="28"/>
        <v>10211.451705395186</v>
      </c>
      <c r="N61" s="29">
        <f t="shared" si="29"/>
        <v>10133.333333333334</v>
      </c>
      <c r="O61" s="30">
        <f t="shared" si="4"/>
        <v>78.118372061851915</v>
      </c>
      <c r="P61" s="43"/>
      <c r="Q61" s="44"/>
      <c r="R61" s="33"/>
      <c r="V61" s="45"/>
      <c r="W61" s="7"/>
      <c r="X61" s="7"/>
      <c r="Y61" s="46"/>
      <c r="Z61" s="7">
        <f t="shared" si="30"/>
        <v>26526.792045978895</v>
      </c>
      <c r="AA61" s="7"/>
      <c r="AC61" s="7"/>
    </row>
    <row r="62" spans="1:29">
      <c r="A62" s="18">
        <v>44247</v>
      </c>
      <c r="B62" s="37">
        <f t="shared" si="0"/>
        <v>-26177.777777777777</v>
      </c>
      <c r="C62" s="29"/>
      <c r="D62" s="29">
        <f t="shared" ref="D62" si="47">-I60*O$4*(A62-A60)/360</f>
        <v>-26177.777777777777</v>
      </c>
      <c r="E62" s="38"/>
      <c r="F62" s="39"/>
      <c r="G62" s="47"/>
      <c r="H62" s="24">
        <f t="shared" si="2"/>
        <v>1505429.8871698331</v>
      </c>
      <c r="I62" s="41">
        <f t="shared" si="5"/>
        <v>1520000</v>
      </c>
      <c r="J62" s="29">
        <f t="shared" si="6"/>
        <v>0</v>
      </c>
      <c r="K62" s="42">
        <f t="shared" si="7"/>
        <v>-14570.112830167049</v>
      </c>
      <c r="L62" s="33">
        <f t="shared" si="3"/>
        <v>0</v>
      </c>
      <c r="M62" s="196">
        <f t="shared" si="26"/>
        <v>16310.00774472501</v>
      </c>
      <c r="N62" s="29">
        <f t="shared" si="27"/>
        <v>16044.444444444445</v>
      </c>
      <c r="O62" s="30">
        <f t="shared" si="4"/>
        <v>265.56330028056436</v>
      </c>
      <c r="P62" s="43"/>
      <c r="Q62" s="44"/>
      <c r="R62" s="33"/>
      <c r="V62" s="45"/>
      <c r="W62" s="7"/>
      <c r="X62" s="7"/>
      <c r="Y62" s="46"/>
      <c r="Z62" s="7"/>
      <c r="AA62" s="7"/>
      <c r="AC62" s="7"/>
    </row>
    <row r="63" spans="1:29">
      <c r="A63" s="18">
        <v>44255</v>
      </c>
      <c r="B63" s="37">
        <f t="shared" si="0"/>
        <v>0</v>
      </c>
      <c r="C63" s="29"/>
      <c r="D63" s="29">
        <v>0</v>
      </c>
      <c r="E63" s="38"/>
      <c r="F63" s="39"/>
      <c r="G63" s="47"/>
      <c r="H63" s="24">
        <f t="shared" si="2"/>
        <v>1513083.7464902555</v>
      </c>
      <c r="I63" s="41">
        <f t="shared" si="5"/>
        <v>1520000</v>
      </c>
      <c r="J63" s="29">
        <f t="shared" si="6"/>
        <v>7600</v>
      </c>
      <c r="K63" s="42">
        <f t="shared" si="7"/>
        <v>-14516.253509744638</v>
      </c>
      <c r="L63" s="33">
        <f t="shared" si="3"/>
        <v>0</v>
      </c>
      <c r="M63" s="196">
        <f t="shared" si="28"/>
        <v>7653.8593204224098</v>
      </c>
      <c r="N63" s="29">
        <f t="shared" si="29"/>
        <v>7600</v>
      </c>
      <c r="O63" s="30">
        <f t="shared" si="4"/>
        <v>53.859320422409837</v>
      </c>
      <c r="P63" s="43"/>
      <c r="Q63" s="44"/>
      <c r="R63" s="33"/>
      <c r="V63" s="45"/>
      <c r="W63" s="7"/>
      <c r="X63" s="7"/>
      <c r="Y63" s="46"/>
      <c r="Z63" s="7">
        <f t="shared" si="30"/>
        <v>23963.86706514742</v>
      </c>
      <c r="AA63" s="7"/>
      <c r="AC63" s="7"/>
    </row>
    <row r="64" spans="1:29">
      <c r="A64" s="18">
        <v>44275</v>
      </c>
      <c r="B64" s="37">
        <f t="shared" si="0"/>
        <v>-23644.444444444445</v>
      </c>
      <c r="C64" s="29"/>
      <c r="D64" s="29">
        <f t="shared" ref="D64" si="48">-I62*O$4*(A64-A62)/360</f>
        <v>-23644.444444444445</v>
      </c>
      <c r="E64" s="38"/>
      <c r="F64" s="39"/>
      <c r="G64" s="47"/>
      <c r="H64" s="24">
        <f t="shared" si="2"/>
        <v>1505725.4802144144</v>
      </c>
      <c r="I64" s="41">
        <f t="shared" si="5"/>
        <v>1520000</v>
      </c>
      <c r="J64" s="29">
        <f t="shared" si="6"/>
        <v>0</v>
      </c>
      <c r="K64" s="42">
        <f t="shared" si="7"/>
        <v>-14274.519785585628</v>
      </c>
      <c r="L64" s="33">
        <f t="shared" si="3"/>
        <v>0</v>
      </c>
      <c r="M64" s="196">
        <f t="shared" si="26"/>
        <v>16286.178168603456</v>
      </c>
      <c r="N64" s="29">
        <f t="shared" si="27"/>
        <v>16044.444444444445</v>
      </c>
      <c r="O64" s="30">
        <f t="shared" si="4"/>
        <v>241.73372415901031</v>
      </c>
      <c r="P64" s="43"/>
      <c r="Q64" s="44"/>
      <c r="R64" s="33"/>
      <c r="V64" s="45"/>
      <c r="W64" s="7"/>
      <c r="X64" s="7"/>
      <c r="Y64" s="46"/>
      <c r="Z64" s="7"/>
      <c r="AA64" s="7"/>
      <c r="AC64" s="7"/>
    </row>
    <row r="65" spans="1:29">
      <c r="A65" s="18">
        <v>44286</v>
      </c>
      <c r="B65" s="37">
        <f t="shared" si="0"/>
        <v>0</v>
      </c>
      <c r="C65" s="29"/>
      <c r="D65" s="29">
        <v>0</v>
      </c>
      <c r="E65" s="38"/>
      <c r="F65" s="39"/>
      <c r="G65" s="47"/>
      <c r="H65" s="24">
        <f t="shared" si="2"/>
        <v>1515941.2691616728</v>
      </c>
      <c r="I65" s="41">
        <f t="shared" si="5"/>
        <v>1520000</v>
      </c>
      <c r="J65" s="29">
        <f t="shared" si="6"/>
        <v>10133.333333333334</v>
      </c>
      <c r="K65" s="42">
        <f t="shared" si="7"/>
        <v>-14192.064171660482</v>
      </c>
      <c r="L65" s="33">
        <f t="shared" si="3"/>
        <v>0</v>
      </c>
      <c r="M65" s="196">
        <f t="shared" si="28"/>
        <v>10215.788947258479</v>
      </c>
      <c r="N65" s="29">
        <f t="shared" si="29"/>
        <v>10133.333333333334</v>
      </c>
      <c r="O65" s="30">
        <f t="shared" si="4"/>
        <v>82.455613925145371</v>
      </c>
      <c r="P65" s="43"/>
      <c r="Q65" s="44"/>
      <c r="R65" s="33"/>
      <c r="V65" s="45"/>
      <c r="W65" s="7"/>
      <c r="X65" s="7"/>
      <c r="Y65" s="46"/>
      <c r="Z65" s="7">
        <f t="shared" si="30"/>
        <v>26501.967115861935</v>
      </c>
      <c r="AA65" s="7"/>
      <c r="AC65" s="7"/>
    </row>
    <row r="66" spans="1:29">
      <c r="A66" s="18">
        <v>44306</v>
      </c>
      <c r="B66" s="37">
        <f t="shared" si="0"/>
        <v>-26177.777777777777</v>
      </c>
      <c r="C66" s="29"/>
      <c r="D66" s="29">
        <f t="shared" ref="D66" si="49">-I64*O$4*(A66-A64)/360</f>
        <v>-26177.777777777777</v>
      </c>
      <c r="E66" s="38"/>
      <c r="F66" s="39"/>
      <c r="G66" s="47"/>
      <c r="H66" s="24">
        <f t="shared" si="2"/>
        <v>1506080.4266890122</v>
      </c>
      <c r="I66" s="41">
        <f t="shared" si="5"/>
        <v>1520000</v>
      </c>
      <c r="J66" s="29">
        <f t="shared" si="6"/>
        <v>0</v>
      </c>
      <c r="K66" s="42">
        <f t="shared" si="7"/>
        <v>-13919.573310987729</v>
      </c>
      <c r="L66" s="33">
        <f t="shared" si="3"/>
        <v>0</v>
      </c>
      <c r="M66" s="196">
        <f t="shared" si="26"/>
        <v>16316.935305117198</v>
      </c>
      <c r="N66" s="29">
        <f t="shared" si="27"/>
        <v>16044.444444444445</v>
      </c>
      <c r="O66" s="30">
        <f t="shared" si="4"/>
        <v>272.49086067275312</v>
      </c>
      <c r="P66" s="43"/>
      <c r="Q66" s="44"/>
      <c r="R66" s="33"/>
      <c r="V66" s="45"/>
      <c r="W66" s="7"/>
      <c r="X66" s="7"/>
      <c r="Y66" s="46"/>
      <c r="Z66" s="7"/>
      <c r="AA66" s="7"/>
      <c r="AC66" s="7"/>
    </row>
    <row r="67" spans="1:29">
      <c r="A67" s="18">
        <v>44316</v>
      </c>
      <c r="B67" s="37">
        <f t="shared" si="0"/>
        <v>0</v>
      </c>
      <c r="C67" s="29"/>
      <c r="D67" s="29">
        <v>0</v>
      </c>
      <c r="E67" s="38"/>
      <c r="F67" s="39"/>
      <c r="G67" s="47"/>
      <c r="H67" s="24">
        <f t="shared" si="2"/>
        <v>1515444.4659597524</v>
      </c>
      <c r="I67" s="41">
        <f t="shared" si="5"/>
        <v>1520000</v>
      </c>
      <c r="J67" s="29">
        <f t="shared" si="6"/>
        <v>9288.8888888888887</v>
      </c>
      <c r="K67" s="42">
        <f t="shared" si="7"/>
        <v>-13844.422929136606</v>
      </c>
      <c r="L67" s="33">
        <f t="shared" si="3"/>
        <v>0</v>
      </c>
      <c r="M67" s="196">
        <f t="shared" si="28"/>
        <v>9364.0392707400115</v>
      </c>
      <c r="N67" s="29">
        <f t="shared" si="29"/>
        <v>9288.8888888888887</v>
      </c>
      <c r="O67" s="30">
        <f t="shared" si="4"/>
        <v>75.150381851122802</v>
      </c>
      <c r="P67" s="43"/>
      <c r="Q67" s="44"/>
      <c r="R67" s="33"/>
      <c r="V67" s="45"/>
      <c r="W67" s="7"/>
      <c r="X67" s="7"/>
      <c r="Y67" s="46"/>
      <c r="Z67" s="7">
        <f t="shared" si="30"/>
        <v>25680.97457585721</v>
      </c>
      <c r="AA67" s="7"/>
      <c r="AC67" s="7"/>
    </row>
    <row r="68" spans="1:29">
      <c r="A68" s="18">
        <v>44336</v>
      </c>
      <c r="B68" s="37">
        <f t="shared" si="0"/>
        <v>-25333.333333333332</v>
      </c>
      <c r="C68" s="29"/>
      <c r="D68" s="29">
        <f t="shared" ref="D68" si="50">-I66*O$4*(A68-A66)/360</f>
        <v>-25333.333333333332</v>
      </c>
      <c r="E68" s="38"/>
      <c r="F68" s="39"/>
      <c r="G68" s="47"/>
      <c r="H68" s="24">
        <f t="shared" si="2"/>
        <v>1506422.7205570238</v>
      </c>
      <c r="I68" s="41">
        <f t="shared" si="5"/>
        <v>1520000</v>
      </c>
      <c r="J68" s="29">
        <f t="shared" si="6"/>
        <v>0</v>
      </c>
      <c r="K68" s="42">
        <f t="shared" si="7"/>
        <v>-13577.279442976318</v>
      </c>
      <c r="L68" s="33">
        <f t="shared" si="3"/>
        <v>0</v>
      </c>
      <c r="M68" s="196">
        <f t="shared" si="26"/>
        <v>16311.587930604734</v>
      </c>
      <c r="N68" s="29">
        <f t="shared" si="27"/>
        <v>16044.444444444445</v>
      </c>
      <c r="O68" s="30">
        <f t="shared" si="4"/>
        <v>267.14348616028838</v>
      </c>
      <c r="P68" s="43"/>
      <c r="Q68" s="44"/>
      <c r="R68" s="33"/>
      <c r="V68" s="45"/>
      <c r="W68" s="7"/>
      <c r="X68" s="7"/>
      <c r="Y68" s="46"/>
      <c r="Z68" s="7"/>
      <c r="AA68" s="7"/>
      <c r="AC68" s="7"/>
    </row>
    <row r="69" spans="1:29">
      <c r="A69" s="18">
        <v>44347</v>
      </c>
      <c r="B69" s="37">
        <f t="shared" si="0"/>
        <v>0</v>
      </c>
      <c r="C69" s="29"/>
      <c r="D69" s="29">
        <v>0</v>
      </c>
      <c r="E69" s="38"/>
      <c r="F69" s="39"/>
      <c r="G69" s="47"/>
      <c r="H69" s="24">
        <f t="shared" si="2"/>
        <v>1516643.2400214176</v>
      </c>
      <c r="I69" s="41">
        <f t="shared" si="5"/>
        <v>1520000</v>
      </c>
      <c r="J69" s="29">
        <f t="shared" si="6"/>
        <v>10133.333333333334</v>
      </c>
      <c r="K69" s="42">
        <f t="shared" si="7"/>
        <v>-13490.093311915607</v>
      </c>
      <c r="L69" s="33">
        <f t="shared" si="3"/>
        <v>0</v>
      </c>
      <c r="M69" s="196">
        <f t="shared" si="28"/>
        <v>10220.519464394045</v>
      </c>
      <c r="N69" s="29">
        <f t="shared" si="29"/>
        <v>10133.333333333334</v>
      </c>
      <c r="O69" s="30">
        <f t="shared" si="4"/>
        <v>87.186131060710977</v>
      </c>
      <c r="P69" s="43"/>
      <c r="Q69" s="44"/>
      <c r="R69" s="33"/>
      <c r="V69" s="45"/>
      <c r="W69" s="7"/>
      <c r="X69" s="7"/>
      <c r="Y69" s="46"/>
      <c r="Z69" s="7">
        <f t="shared" si="30"/>
        <v>26532.107394998777</v>
      </c>
      <c r="AA69" s="7"/>
      <c r="AC69" s="7"/>
    </row>
    <row r="70" spans="1:29">
      <c r="A70" s="18">
        <v>44367</v>
      </c>
      <c r="B70" s="37">
        <f t="shared" si="0"/>
        <v>-26177.777777777777</v>
      </c>
      <c r="C70" s="29"/>
      <c r="D70" s="29">
        <f t="shared" ref="D70" si="51">-I68*O$4*(A70-A68)/360</f>
        <v>-26177.777777777777</v>
      </c>
      <c r="E70" s="38"/>
      <c r="F70" s="39"/>
      <c r="G70" s="47"/>
      <c r="H70" s="24">
        <f t="shared" si="2"/>
        <v>1506789.9532590855</v>
      </c>
      <c r="I70" s="41">
        <f t="shared" si="5"/>
        <v>1520000</v>
      </c>
      <c r="J70" s="29">
        <f t="shared" si="6"/>
        <v>0</v>
      </c>
      <c r="K70" s="42">
        <f t="shared" si="7"/>
        <v>-13210.046740914533</v>
      </c>
      <c r="L70" s="33">
        <f t="shared" si="3"/>
        <v>0</v>
      </c>
      <c r="M70" s="196">
        <f t="shared" si="26"/>
        <v>16324.491015445519</v>
      </c>
      <c r="N70" s="29">
        <f t="shared" si="27"/>
        <v>16044.444444444445</v>
      </c>
      <c r="O70" s="30">
        <f t="shared" si="4"/>
        <v>280.04657100107397</v>
      </c>
      <c r="P70" s="43"/>
      <c r="Q70" s="44"/>
      <c r="R70" s="33"/>
      <c r="V70" s="45"/>
      <c r="W70" s="7"/>
      <c r="X70" s="7"/>
      <c r="Y70" s="46"/>
      <c r="Z70" s="7"/>
      <c r="AA70" s="7"/>
      <c r="AC70" s="7"/>
    </row>
    <row r="71" spans="1:29">
      <c r="A71" s="18">
        <v>44377</v>
      </c>
      <c r="B71" s="37">
        <f t="shared" si="0"/>
        <v>0</v>
      </c>
      <c r="C71" s="29"/>
      <c r="D71" s="29">
        <v>0</v>
      </c>
      <c r="E71" s="38"/>
      <c r="F71" s="39"/>
      <c r="G71" s="47"/>
      <c r="H71" s="24">
        <f t="shared" si="2"/>
        <v>1516158.4040038399</v>
      </c>
      <c r="I71" s="41">
        <f t="shared" si="5"/>
        <v>1520000</v>
      </c>
      <c r="J71" s="29">
        <f t="shared" si="6"/>
        <v>9288.8888888888887</v>
      </c>
      <c r="K71" s="42">
        <f t="shared" si="7"/>
        <v>-13130.4848850491</v>
      </c>
      <c r="L71" s="33">
        <f t="shared" si="3"/>
        <v>0</v>
      </c>
      <c r="M71" s="196">
        <f t="shared" si="28"/>
        <v>9368.4507447543219</v>
      </c>
      <c r="N71" s="29">
        <f t="shared" si="29"/>
        <v>9288.8888888888887</v>
      </c>
      <c r="O71" s="30">
        <f t="shared" si="4"/>
        <v>79.561855865433245</v>
      </c>
      <c r="P71" s="43"/>
      <c r="Q71" s="44"/>
      <c r="R71" s="33"/>
      <c r="V71" s="45"/>
      <c r="W71" s="7"/>
      <c r="X71" s="7"/>
      <c r="Y71" s="46"/>
      <c r="Z71" s="7">
        <f t="shared" si="30"/>
        <v>25692.941760199843</v>
      </c>
      <c r="AA71" s="7"/>
      <c r="AC71" s="7"/>
    </row>
    <row r="72" spans="1:29">
      <c r="A72" s="18">
        <v>44397</v>
      </c>
      <c r="B72" s="37">
        <f t="shared" si="0"/>
        <v>-25333.333333333332</v>
      </c>
      <c r="C72" s="29"/>
      <c r="D72" s="29">
        <f t="shared" ref="D72" si="52">-I70*O$4*(A72-A70)/360</f>
        <v>-25333.333333333332</v>
      </c>
      <c r="E72" s="38"/>
      <c r="F72" s="39"/>
      <c r="G72" s="47"/>
      <c r="H72" s="24">
        <f t="shared" si="2"/>
        <v>1507144.343121029</v>
      </c>
      <c r="I72" s="41">
        <f t="shared" si="5"/>
        <v>1520000</v>
      </c>
      <c r="J72" s="29">
        <f t="shared" si="6"/>
        <v>0</v>
      </c>
      <c r="K72" s="42">
        <f t="shared" si="7"/>
        <v>-12855.656878970913</v>
      </c>
      <c r="L72" s="33">
        <f t="shared" si="3"/>
        <v>0</v>
      </c>
      <c r="M72" s="196">
        <f t="shared" si="26"/>
        <v>16319.272450522632</v>
      </c>
      <c r="N72" s="29">
        <f t="shared" si="27"/>
        <v>16044.444444444445</v>
      </c>
      <c r="O72" s="30">
        <f t="shared" si="4"/>
        <v>274.82800607818717</v>
      </c>
      <c r="P72" s="43"/>
      <c r="Q72" s="44"/>
      <c r="R72" s="33"/>
      <c r="V72" s="45"/>
      <c r="W72" s="7"/>
      <c r="X72" s="7"/>
      <c r="Y72" s="46"/>
      <c r="Z72" s="7"/>
      <c r="AA72" s="7"/>
      <c r="AC72" s="7"/>
    </row>
    <row r="73" spans="1:29">
      <c r="A73" s="18">
        <v>44408</v>
      </c>
      <c r="B73" s="37">
        <f t="shared" si="0"/>
        <v>0</v>
      </c>
      <c r="C73" s="29"/>
      <c r="D73" s="29">
        <v>0</v>
      </c>
      <c r="E73" s="38"/>
      <c r="F73" s="39"/>
      <c r="G73" s="47"/>
      <c r="H73" s="24">
        <f t="shared" si="2"/>
        <v>1517369.758526888</v>
      </c>
      <c r="I73" s="41">
        <f t="shared" si="5"/>
        <v>1520000</v>
      </c>
      <c r="J73" s="29">
        <f t="shared" si="6"/>
        <v>10133.333333333334</v>
      </c>
      <c r="K73" s="42">
        <f t="shared" si="7"/>
        <v>-12763.574806445224</v>
      </c>
      <c r="L73" s="33">
        <f t="shared" si="3"/>
        <v>0</v>
      </c>
      <c r="M73" s="196">
        <f t="shared" si="28"/>
        <v>10225.415405859023</v>
      </c>
      <c r="N73" s="29">
        <f t="shared" si="29"/>
        <v>10133.333333333334</v>
      </c>
      <c r="O73" s="30">
        <f t="shared" si="4"/>
        <v>92.082072525689</v>
      </c>
      <c r="P73" s="43"/>
      <c r="Q73" s="44"/>
      <c r="R73" s="33"/>
      <c r="V73" s="45"/>
      <c r="W73" s="7"/>
      <c r="X73" s="7"/>
      <c r="Y73" s="46"/>
      <c r="Z73" s="7">
        <f t="shared" si="30"/>
        <v>26544.687856381657</v>
      </c>
      <c r="AA73" s="7"/>
      <c r="AC73" s="7"/>
    </row>
    <row r="74" spans="1:29">
      <c r="A74" s="18">
        <v>44428</v>
      </c>
      <c r="B74" s="37">
        <f t="shared" si="0"/>
        <v>-26177.777777777777</v>
      </c>
      <c r="C74" s="29"/>
      <c r="D74" s="29">
        <f t="shared" ref="D74" si="53">-I72*O$4*(A74-A72)/360</f>
        <v>-26177.777777777777</v>
      </c>
      <c r="E74" s="38"/>
      <c r="F74" s="39"/>
      <c r="G74" s="47"/>
      <c r="H74" s="24">
        <f t="shared" si="2"/>
        <v>1507524.2916951119</v>
      </c>
      <c r="I74" s="41">
        <f t="shared" si="5"/>
        <v>1520000</v>
      </c>
      <c r="J74" s="29">
        <f t="shared" si="6"/>
        <v>0</v>
      </c>
      <c r="K74" s="42">
        <f t="shared" si="7"/>
        <v>-12475.708304888207</v>
      </c>
      <c r="L74" s="33">
        <f t="shared" si="3"/>
        <v>0</v>
      </c>
      <c r="M74" s="196">
        <f t="shared" si="26"/>
        <v>16332.310946001462</v>
      </c>
      <c r="N74" s="29">
        <f t="shared" si="27"/>
        <v>16044.444444444445</v>
      </c>
      <c r="O74" s="30">
        <f t="shared" si="4"/>
        <v>287.86650155701682</v>
      </c>
      <c r="P74" s="43"/>
      <c r="Q74" s="44"/>
      <c r="R74" s="33"/>
      <c r="V74" s="45"/>
      <c r="W74" s="7"/>
      <c r="X74" s="7"/>
      <c r="Y74" s="46"/>
      <c r="Z74" s="7"/>
      <c r="AA74" s="7"/>
      <c r="AC74" s="7"/>
    </row>
    <row r="75" spans="1:29">
      <c r="A75" s="18">
        <v>44439</v>
      </c>
      <c r="B75" s="37">
        <f t="shared" si="0"/>
        <v>0</v>
      </c>
      <c r="C75" s="29"/>
      <c r="D75" s="29">
        <v>0</v>
      </c>
      <c r="E75" s="38"/>
      <c r="F75" s="39"/>
      <c r="G75" s="47"/>
      <c r="H75" s="24">
        <f t="shared" si="2"/>
        <v>1517752.2849111324</v>
      </c>
      <c r="I75" s="41">
        <f t="shared" si="5"/>
        <v>1520000</v>
      </c>
      <c r="J75" s="29">
        <f t="shared" si="6"/>
        <v>10133.333333333334</v>
      </c>
      <c r="K75" s="42">
        <f t="shared" si="7"/>
        <v>-12381.048422200807</v>
      </c>
      <c r="L75" s="33">
        <f t="shared" si="3"/>
        <v>0</v>
      </c>
      <c r="M75" s="196">
        <f t="shared" si="28"/>
        <v>10227.993216020734</v>
      </c>
      <c r="N75" s="29">
        <f t="shared" si="29"/>
        <v>10133.333333333334</v>
      </c>
      <c r="O75" s="30">
        <f t="shared" si="4"/>
        <v>94.659882687399659</v>
      </c>
      <c r="P75" s="43"/>
      <c r="Q75" s="44"/>
      <c r="R75" s="33"/>
      <c r="V75" s="45"/>
      <c r="W75" s="7"/>
      <c r="X75" s="7"/>
      <c r="Y75" s="46"/>
      <c r="Z75" s="7">
        <f t="shared" si="30"/>
        <v>26560.304162022196</v>
      </c>
      <c r="AA75" s="7"/>
      <c r="AC75" s="7"/>
    </row>
    <row r="76" spans="1:29">
      <c r="A76" s="18">
        <v>44459</v>
      </c>
      <c r="B76" s="37">
        <f t="shared" si="0"/>
        <v>-26177.777777777777</v>
      </c>
      <c r="C76" s="29"/>
      <c r="D76" s="29">
        <f t="shared" ref="D76" si="54">-I74*O$4*(A76-A74)/360</f>
        <v>-26177.777777777777</v>
      </c>
      <c r="E76" s="38"/>
      <c r="F76" s="39"/>
      <c r="G76" s="47"/>
      <c r="H76" s="24">
        <f t="shared" si="2"/>
        <v>1507910.9354276937</v>
      </c>
      <c r="I76" s="41">
        <f t="shared" si="5"/>
        <v>1520000</v>
      </c>
      <c r="J76" s="29">
        <f t="shared" si="6"/>
        <v>0</v>
      </c>
      <c r="K76" s="42">
        <f t="shared" si="7"/>
        <v>-12089.064572306366</v>
      </c>
      <c r="L76" s="33">
        <f t="shared" si="3"/>
        <v>0</v>
      </c>
      <c r="M76" s="196">
        <f t="shared" si="26"/>
        <v>16336.428294338886</v>
      </c>
      <c r="N76" s="29">
        <f t="shared" si="27"/>
        <v>16044.444444444445</v>
      </c>
      <c r="O76" s="30">
        <f t="shared" si="4"/>
        <v>291.98384989444094</v>
      </c>
      <c r="P76" s="43"/>
      <c r="Q76" s="44"/>
      <c r="R76" s="33"/>
      <c r="V76" s="45"/>
      <c r="W76" s="7"/>
      <c r="X76" s="7"/>
      <c r="Y76" s="46"/>
      <c r="Z76" s="7"/>
      <c r="AA76" s="7"/>
      <c r="AC76" s="7"/>
    </row>
    <row r="77" spans="1:29">
      <c r="A77" s="18">
        <v>44469</v>
      </c>
      <c r="B77" s="37">
        <f t="shared" si="0"/>
        <v>0</v>
      </c>
      <c r="C77" s="29"/>
      <c r="D77" s="29">
        <v>0</v>
      </c>
      <c r="E77" s="38"/>
      <c r="F77" s="39"/>
      <c r="G77" s="47"/>
      <c r="H77" s="24">
        <f t="shared" si="2"/>
        <v>1517286.3558673346</v>
      </c>
      <c r="I77" s="41">
        <f t="shared" si="5"/>
        <v>1520000</v>
      </c>
      <c r="J77" s="29">
        <f t="shared" si="6"/>
        <v>9288.8888888888887</v>
      </c>
      <c r="K77" s="42">
        <f t="shared" si="7"/>
        <v>-12002.533021554371</v>
      </c>
      <c r="L77" s="33">
        <f t="shared" si="3"/>
        <v>0</v>
      </c>
      <c r="M77" s="196">
        <f t="shared" si="28"/>
        <v>9375.4204396408841</v>
      </c>
      <c r="N77" s="29">
        <f t="shared" si="29"/>
        <v>9288.8888888888887</v>
      </c>
      <c r="O77" s="30">
        <f t="shared" si="4"/>
        <v>86.531550751995383</v>
      </c>
      <c r="P77" s="43"/>
      <c r="Q77" s="44"/>
      <c r="R77" s="33"/>
      <c r="V77" s="45"/>
      <c r="W77" s="7"/>
      <c r="X77" s="7"/>
      <c r="Y77" s="46"/>
      <c r="Z77" s="7">
        <f t="shared" si="30"/>
        <v>25711.848733979772</v>
      </c>
      <c r="AA77" s="7"/>
      <c r="AC77" s="7"/>
    </row>
    <row r="78" spans="1:29">
      <c r="A78" s="18">
        <v>44489</v>
      </c>
      <c r="B78" s="37">
        <f t="shared" si="0"/>
        <v>-25333.333333333332</v>
      </c>
      <c r="C78" s="29"/>
      <c r="D78" s="29">
        <f t="shared" ref="D78" si="55">-I76*O$4*(A78-A76)/360</f>
        <v>-25333.333333333332</v>
      </c>
      <c r="E78" s="38"/>
      <c r="F78" s="39"/>
      <c r="G78" s="47"/>
      <c r="H78" s="24">
        <f t="shared" si="2"/>
        <v>1508284.4357698949</v>
      </c>
      <c r="I78" s="41">
        <f t="shared" si="5"/>
        <v>1520000</v>
      </c>
      <c r="J78" s="29">
        <f t="shared" si="6"/>
        <v>0</v>
      </c>
      <c r="K78" s="42">
        <f t="shared" si="7"/>
        <v>-11715.564230105187</v>
      </c>
      <c r="L78" s="33">
        <f t="shared" si="3"/>
        <v>0</v>
      </c>
      <c r="M78" s="196">
        <f t="shared" si="26"/>
        <v>16331.413235893629</v>
      </c>
      <c r="N78" s="29">
        <f t="shared" si="27"/>
        <v>16044.444444444445</v>
      </c>
      <c r="O78" s="30">
        <f t="shared" si="4"/>
        <v>286.96879144918421</v>
      </c>
      <c r="P78" s="43"/>
      <c r="Q78" s="44"/>
      <c r="R78" s="33"/>
      <c r="V78" s="45"/>
      <c r="W78" s="7"/>
      <c r="X78" s="7"/>
      <c r="Y78" s="46"/>
      <c r="Z78" s="7"/>
      <c r="AA78" s="7"/>
      <c r="AC78" s="7"/>
    </row>
    <row r="79" spans="1:29">
      <c r="A79" s="18">
        <v>44500</v>
      </c>
      <c r="B79" s="37">
        <f t="shared" si="0"/>
        <v>0</v>
      </c>
      <c r="C79" s="29"/>
      <c r="D79" s="29">
        <v>0</v>
      </c>
      <c r="E79" s="38"/>
      <c r="F79" s="39"/>
      <c r="G79" s="47"/>
      <c r="H79" s="24">
        <f t="shared" si="2"/>
        <v>1518517.5862815443</v>
      </c>
      <c r="I79" s="41">
        <f t="shared" si="5"/>
        <v>1520000</v>
      </c>
      <c r="J79" s="29">
        <f t="shared" si="6"/>
        <v>10133.333333333334</v>
      </c>
      <c r="K79" s="42">
        <f t="shared" si="7"/>
        <v>-11615.747051788849</v>
      </c>
      <c r="L79" s="33">
        <f t="shared" si="3"/>
        <v>0</v>
      </c>
      <c r="M79" s="196">
        <f t="shared" si="28"/>
        <v>10233.150511649672</v>
      </c>
      <c r="N79" s="29">
        <f t="shared" si="29"/>
        <v>10133.333333333334</v>
      </c>
      <c r="O79" s="30">
        <f t="shared" si="4"/>
        <v>99.817178316337959</v>
      </c>
      <c r="P79" s="43"/>
      <c r="Q79" s="44"/>
      <c r="R79" s="33"/>
      <c r="V79" s="45"/>
      <c r="W79" s="7"/>
      <c r="X79" s="7"/>
      <c r="Y79" s="46"/>
      <c r="Z79" s="7">
        <f t="shared" si="30"/>
        <v>26564.563747543303</v>
      </c>
      <c r="AA79" s="7"/>
      <c r="AC79" s="7"/>
    </row>
    <row r="80" spans="1:29">
      <c r="A80" s="18">
        <v>44520</v>
      </c>
      <c r="B80" s="37">
        <f t="shared" si="0"/>
        <v>-26177.777777777777</v>
      </c>
      <c r="C80" s="29"/>
      <c r="D80" s="29">
        <f t="shared" ref="D80" si="56">-I78*O$4*(A80-A78)/360</f>
        <v>-26177.777777777777</v>
      </c>
      <c r="E80" s="38"/>
      <c r="F80" s="39"/>
      <c r="G80" s="47"/>
      <c r="H80" s="24">
        <f t="shared" si="2"/>
        <v>1508684.4741706238</v>
      </c>
      <c r="I80" s="41">
        <f t="shared" si="5"/>
        <v>1520000</v>
      </c>
      <c r="J80" s="29">
        <f t="shared" si="6"/>
        <v>0</v>
      </c>
      <c r="K80" s="42">
        <f t="shared" si="7"/>
        <v>-11315.525829376122</v>
      </c>
      <c r="L80" s="33">
        <f t="shared" si="3"/>
        <v>0</v>
      </c>
      <c r="M80" s="196">
        <f t="shared" si="26"/>
        <v>16344.665666857172</v>
      </c>
      <c r="N80" s="29">
        <f t="shared" si="27"/>
        <v>16044.444444444445</v>
      </c>
      <c r="O80" s="30">
        <f t="shared" si="4"/>
        <v>300.221222412727</v>
      </c>
      <c r="P80" s="43"/>
      <c r="Q80" s="44"/>
      <c r="R80" s="33"/>
      <c r="V80" s="45"/>
      <c r="W80" s="7"/>
      <c r="X80" s="7"/>
      <c r="Y80" s="46"/>
      <c r="Z80" s="7"/>
      <c r="AA80" s="7"/>
      <c r="AC80" s="7"/>
    </row>
    <row r="81" spans="1:29">
      <c r="A81" s="18">
        <v>44530</v>
      </c>
      <c r="B81" s="37">
        <f t="shared" si="0"/>
        <v>0</v>
      </c>
      <c r="C81" s="29"/>
      <c r="D81" s="29">
        <v>0</v>
      </c>
      <c r="E81" s="38"/>
      <c r="F81" s="39"/>
      <c r="G81" s="47"/>
      <c r="H81" s="24">
        <f t="shared" si="2"/>
        <v>1518064.7040792932</v>
      </c>
      <c r="I81" s="41">
        <f t="shared" si="5"/>
        <v>1520000</v>
      </c>
      <c r="J81" s="29">
        <f t="shared" si="6"/>
        <v>9288.8888888888887</v>
      </c>
      <c r="K81" s="42">
        <f t="shared" si="7"/>
        <v>-11224.184809595861</v>
      </c>
      <c r="L81" s="33">
        <f t="shared" si="3"/>
        <v>0</v>
      </c>
      <c r="M81" s="196">
        <f t="shared" si="28"/>
        <v>9380.2299086691492</v>
      </c>
      <c r="N81" s="29">
        <f t="shared" si="29"/>
        <v>9288.8888888888887</v>
      </c>
      <c r="O81" s="30">
        <f t="shared" si="4"/>
        <v>91.341019780260467</v>
      </c>
      <c r="P81" s="43"/>
      <c r="Q81" s="44"/>
      <c r="R81" s="33"/>
      <c r="V81" s="45"/>
      <c r="W81" s="7"/>
      <c r="X81" s="7"/>
      <c r="Y81" s="46"/>
      <c r="Z81" s="7">
        <f t="shared" si="30"/>
        <v>25724.895575526323</v>
      </c>
      <c r="AA81" s="7"/>
      <c r="AC81" s="7"/>
    </row>
    <row r="82" spans="1:29">
      <c r="A82" s="18">
        <v>44550</v>
      </c>
      <c r="B82" s="37">
        <f t="shared" si="0"/>
        <v>-25333.333333333332</v>
      </c>
      <c r="C82" s="29"/>
      <c r="D82" s="29">
        <f t="shared" ref="D82" si="57">-I80*O$4*(A82-A80)/360</f>
        <v>-25333.333333333332</v>
      </c>
      <c r="E82" s="38"/>
      <c r="F82" s="39"/>
      <c r="G82" s="47"/>
      <c r="H82" s="24">
        <f t="shared" si="2"/>
        <v>1509071.1617849239</v>
      </c>
      <c r="I82" s="41">
        <f t="shared" ref="I82:I145" si="58">I81+C82</f>
        <v>1520000</v>
      </c>
      <c r="J82" s="29">
        <f t="shared" si="6"/>
        <v>0</v>
      </c>
      <c r="K82" s="42">
        <f t="shared" si="7"/>
        <v>-10928.838215076243</v>
      </c>
      <c r="L82" s="33">
        <f t="shared" si="3"/>
        <v>0</v>
      </c>
      <c r="M82" s="196">
        <f t="shared" si="26"/>
        <v>16339.791038964064</v>
      </c>
      <c r="N82" s="29">
        <f t="shared" si="27"/>
        <v>16044.444444444445</v>
      </c>
      <c r="O82" s="30">
        <f t="shared" si="4"/>
        <v>295.34659451961852</v>
      </c>
      <c r="P82" s="43"/>
      <c r="Q82" s="44"/>
      <c r="R82" s="33"/>
      <c r="V82" s="45"/>
      <c r="W82" s="7"/>
      <c r="X82" s="7"/>
      <c r="Y82" s="46"/>
      <c r="Z82" s="7"/>
      <c r="AA82" s="7"/>
      <c r="AC82" s="7"/>
    </row>
    <row r="83" spans="1:29">
      <c r="A83" s="18">
        <v>44561</v>
      </c>
      <c r="B83" s="37">
        <f t="shared" si="0"/>
        <v>0</v>
      </c>
      <c r="C83" s="29"/>
      <c r="D83" s="29">
        <v>0</v>
      </c>
      <c r="E83" s="38"/>
      <c r="F83" s="39"/>
      <c r="G83" s="47"/>
      <c r="H83" s="24">
        <f t="shared" si="2"/>
        <v>1519309.6499408083</v>
      </c>
      <c r="I83" s="41">
        <f t="shared" si="58"/>
        <v>1520000</v>
      </c>
      <c r="J83" s="29">
        <f t="shared" ref="J83:J146" si="59">J82+N83+D83</f>
        <v>10133.333333333334</v>
      </c>
      <c r="K83" s="42">
        <f t="shared" ref="K83:K146" si="60">K82+O83</f>
        <v>-10823.683392524974</v>
      </c>
      <c r="L83" s="33">
        <f t="shared" si="3"/>
        <v>0</v>
      </c>
      <c r="M83" s="196">
        <f t="shared" si="28"/>
        <v>10238.488155884603</v>
      </c>
      <c r="N83" s="29">
        <f t="shared" si="29"/>
        <v>10133.333333333334</v>
      </c>
      <c r="O83" s="30">
        <f t="shared" si="4"/>
        <v>105.15482255126881</v>
      </c>
      <c r="P83" s="43"/>
      <c r="Q83" s="44"/>
      <c r="R83" s="33"/>
      <c r="V83" s="45"/>
      <c r="W83" s="7"/>
      <c r="X83" s="7"/>
      <c r="Y83" s="46"/>
      <c r="Z83" s="7">
        <f t="shared" si="30"/>
        <v>26578.279194848667</v>
      </c>
      <c r="AA83" s="7"/>
      <c r="AC83" s="7"/>
    </row>
    <row r="84" spans="1:29">
      <c r="A84" s="18">
        <v>44581</v>
      </c>
      <c r="B84" s="37">
        <f t="shared" si="0"/>
        <v>-26177.777777777777</v>
      </c>
      <c r="C84" s="29"/>
      <c r="D84" s="29">
        <f t="shared" ref="D84" si="61">-I82*O$4*(A84-A82)/360</f>
        <v>-26177.777777777777</v>
      </c>
      <c r="E84" s="38"/>
      <c r="F84" s="39"/>
      <c r="G84" s="47"/>
      <c r="H84" s="24">
        <f t="shared" si="2"/>
        <v>1509485.0632600931</v>
      </c>
      <c r="I84" s="41">
        <f t="shared" si="58"/>
        <v>1520000</v>
      </c>
      <c r="J84" s="29">
        <f t="shared" si="59"/>
        <v>0</v>
      </c>
      <c r="K84" s="42">
        <f t="shared" si="60"/>
        <v>-10514.936739906832</v>
      </c>
      <c r="L84" s="33">
        <f t="shared" si="3"/>
        <v>0</v>
      </c>
      <c r="M84" s="196">
        <f t="shared" si="26"/>
        <v>16353.191097062587</v>
      </c>
      <c r="N84" s="29">
        <f t="shared" si="27"/>
        <v>16044.444444444445</v>
      </c>
      <c r="O84" s="30">
        <f t="shared" si="4"/>
        <v>308.74665261814152</v>
      </c>
      <c r="P84" s="43"/>
      <c r="Q84" s="44"/>
      <c r="R84" s="33"/>
      <c r="V84" s="45"/>
      <c r="W84" s="7"/>
      <c r="X84" s="7"/>
      <c r="Y84" s="46"/>
      <c r="Z84" s="7"/>
      <c r="AA84" s="7"/>
      <c r="AC84" s="7"/>
    </row>
    <row r="85" spans="1:29">
      <c r="A85" s="18">
        <v>44592</v>
      </c>
      <c r="B85" s="37">
        <f t="shared" si="0"/>
        <v>0</v>
      </c>
      <c r="C85" s="29"/>
      <c r="D85" s="29">
        <v>0</v>
      </c>
      <c r="E85" s="38"/>
      <c r="F85" s="39"/>
      <c r="G85" s="47"/>
      <c r="H85" s="24">
        <f t="shared" si="2"/>
        <v>1519726.3595839811</v>
      </c>
      <c r="I85" s="41">
        <f t="shared" si="58"/>
        <v>1520000</v>
      </c>
      <c r="J85" s="29">
        <f t="shared" si="59"/>
        <v>10133.333333333334</v>
      </c>
      <c r="K85" s="42">
        <f t="shared" si="60"/>
        <v>-10406.973749352266</v>
      </c>
      <c r="L85" s="33">
        <f t="shared" si="3"/>
        <v>0</v>
      </c>
      <c r="M85" s="196">
        <f t="shared" si="28"/>
        <v>10241.2963238879</v>
      </c>
      <c r="N85" s="29">
        <f t="shared" si="29"/>
        <v>10133.333333333334</v>
      </c>
      <c r="O85" s="30">
        <f t="shared" si="4"/>
        <v>107.9629905545662</v>
      </c>
      <c r="P85" s="43"/>
      <c r="Q85" s="44"/>
      <c r="R85" s="33"/>
      <c r="V85" s="45"/>
      <c r="W85" s="7"/>
      <c r="X85" s="7"/>
      <c r="Y85" s="46"/>
      <c r="Z85" s="7">
        <f t="shared" si="30"/>
        <v>26594.487420950485</v>
      </c>
      <c r="AA85" s="7"/>
      <c r="AC85" s="7"/>
    </row>
    <row r="86" spans="1:29">
      <c r="A86" s="18">
        <v>44612</v>
      </c>
      <c r="B86" s="37">
        <f t="shared" si="0"/>
        <v>-26177.777777777777</v>
      </c>
      <c r="C86" s="29"/>
      <c r="D86" s="29">
        <f t="shared" ref="D86" si="62">-I84*O$4*(A86-A84)/360</f>
        <v>-26177.777777777777</v>
      </c>
      <c r="E86" s="38"/>
      <c r="F86" s="39"/>
      <c r="G86" s="47"/>
      <c r="H86" s="24">
        <f t="shared" si="2"/>
        <v>1509906.2581853985</v>
      </c>
      <c r="I86" s="41">
        <f t="shared" si="58"/>
        <v>1520000</v>
      </c>
      <c r="J86" s="29">
        <f t="shared" si="59"/>
        <v>0</v>
      </c>
      <c r="K86" s="42">
        <f t="shared" si="60"/>
        <v>-10093.741814601506</v>
      </c>
      <c r="L86" s="33">
        <f t="shared" si="3"/>
        <v>0</v>
      </c>
      <c r="M86" s="196">
        <f t="shared" si="26"/>
        <v>16357.676379195205</v>
      </c>
      <c r="N86" s="29">
        <f t="shared" si="27"/>
        <v>16044.444444444445</v>
      </c>
      <c r="O86" s="30">
        <f t="shared" si="4"/>
        <v>313.23193475076005</v>
      </c>
      <c r="P86" s="43"/>
      <c r="Q86" s="44"/>
      <c r="R86" s="33"/>
      <c r="V86" s="45"/>
      <c r="W86" s="7"/>
      <c r="X86" s="7"/>
      <c r="Y86" s="46"/>
      <c r="Z86" s="7"/>
      <c r="AA86" s="7"/>
      <c r="AC86" s="7"/>
    </row>
    <row r="87" spans="1:29">
      <c r="A87" s="18">
        <v>44620</v>
      </c>
      <c r="B87" s="37">
        <f t="shared" si="0"/>
        <v>0</v>
      </c>
      <c r="C87" s="29"/>
      <c r="D87" s="29">
        <v>0</v>
      </c>
      <c r="E87" s="38"/>
      <c r="F87" s="39"/>
      <c r="G87" s="47"/>
      <c r="H87" s="24">
        <f t="shared" si="2"/>
        <v>1517582.876130657</v>
      </c>
      <c r="I87" s="41">
        <f t="shared" si="58"/>
        <v>1520000</v>
      </c>
      <c r="J87" s="29">
        <f t="shared" si="59"/>
        <v>7600</v>
      </c>
      <c r="K87" s="42">
        <f t="shared" si="60"/>
        <v>-10017.123869342993</v>
      </c>
      <c r="L87" s="33">
        <f t="shared" si="3"/>
        <v>0</v>
      </c>
      <c r="M87" s="196">
        <f t="shared" si="28"/>
        <v>7676.6179452585129</v>
      </c>
      <c r="N87" s="29">
        <f t="shared" si="29"/>
        <v>7600</v>
      </c>
      <c r="O87" s="30">
        <f t="shared" si="4"/>
        <v>76.617945258512918</v>
      </c>
      <c r="P87" s="43"/>
      <c r="Q87" s="44"/>
      <c r="R87" s="33"/>
      <c r="V87" s="45"/>
      <c r="W87" s="7"/>
      <c r="X87" s="7"/>
      <c r="Y87" s="46"/>
      <c r="Z87" s="7">
        <f t="shared" si="30"/>
        <v>24034.294324453716</v>
      </c>
      <c r="AA87" s="7"/>
      <c r="AC87" s="7"/>
    </row>
    <row r="88" spans="1:29">
      <c r="A88" s="18">
        <v>44640</v>
      </c>
      <c r="B88" s="37">
        <f t="shared" si="0"/>
        <v>-23644.444444444445</v>
      </c>
      <c r="C88" s="29"/>
      <c r="D88" s="29">
        <f t="shared" ref="D88" si="63">-I86*O$4*(A88-A86)/360</f>
        <v>-23644.444444444445</v>
      </c>
      <c r="E88" s="38"/>
      <c r="F88" s="39"/>
      <c r="G88" s="47"/>
      <c r="H88" s="24">
        <f t="shared" si="2"/>
        <v>1510273.0365378051</v>
      </c>
      <c r="I88" s="41">
        <f t="shared" si="58"/>
        <v>1520000</v>
      </c>
      <c r="J88" s="29">
        <f t="shared" si="59"/>
        <v>0</v>
      </c>
      <c r="K88" s="42">
        <f t="shared" si="60"/>
        <v>-9726.9634621948953</v>
      </c>
      <c r="L88" s="33">
        <f t="shared" si="3"/>
        <v>0</v>
      </c>
      <c r="M88" s="196">
        <f t="shared" si="26"/>
        <v>16334.604851592543</v>
      </c>
      <c r="N88" s="29">
        <f t="shared" si="27"/>
        <v>16044.444444444445</v>
      </c>
      <c r="O88" s="30">
        <f t="shared" si="4"/>
        <v>290.16040714809787</v>
      </c>
      <c r="P88" s="43"/>
      <c r="Q88" s="44"/>
      <c r="R88" s="33"/>
      <c r="V88" s="45"/>
      <c r="W88" s="7"/>
      <c r="X88" s="7"/>
      <c r="Y88" s="46"/>
      <c r="Z88" s="7"/>
      <c r="AA88" s="7"/>
      <c r="AC88" s="7"/>
    </row>
    <row r="89" spans="1:29">
      <c r="A89" s="18">
        <v>44651</v>
      </c>
      <c r="B89" s="37">
        <f t="shared" si="0"/>
        <v>0</v>
      </c>
      <c r="C89" s="29"/>
      <c r="D89" s="29">
        <v>0</v>
      </c>
      <c r="E89" s="38"/>
      <c r="F89" s="39"/>
      <c r="G89" s="47"/>
      <c r="H89" s="24">
        <f t="shared" si="2"/>
        <v>1520519.6789681425</v>
      </c>
      <c r="I89" s="41">
        <f t="shared" si="58"/>
        <v>1520000</v>
      </c>
      <c r="J89" s="29">
        <f t="shared" si="59"/>
        <v>10133.333333333334</v>
      </c>
      <c r="K89" s="42">
        <f t="shared" si="60"/>
        <v>-9613.6543651906741</v>
      </c>
      <c r="L89" s="33">
        <f t="shared" si="3"/>
        <v>0</v>
      </c>
      <c r="M89" s="196">
        <f t="shared" si="28"/>
        <v>10246.642430337555</v>
      </c>
      <c r="N89" s="29">
        <f t="shared" si="29"/>
        <v>10133.333333333334</v>
      </c>
      <c r="O89" s="30">
        <f t="shared" si="4"/>
        <v>113.30909700422126</v>
      </c>
      <c r="P89" s="43"/>
      <c r="Q89" s="44"/>
      <c r="R89" s="33"/>
      <c r="V89" s="45"/>
      <c r="W89" s="7"/>
      <c r="X89" s="7"/>
      <c r="Y89" s="46"/>
      <c r="Z89" s="7">
        <f t="shared" si="30"/>
        <v>26581.247281930097</v>
      </c>
      <c r="AA89" s="7"/>
      <c r="AC89" s="7"/>
    </row>
    <row r="90" spans="1:29">
      <c r="A90" s="18">
        <v>44671</v>
      </c>
      <c r="B90" s="37">
        <f t="shared" si="0"/>
        <v>-26177.777777777777</v>
      </c>
      <c r="C90" s="29"/>
      <c r="D90" s="29">
        <f t="shared" ref="D90" si="64">-I88*O$4*(A90-A88)/360</f>
        <v>-26177.777777777777</v>
      </c>
      <c r="E90" s="38"/>
      <c r="F90" s="39"/>
      <c r="G90" s="47"/>
      <c r="H90" s="24">
        <f t="shared" si="2"/>
        <v>1510708.1165158444</v>
      </c>
      <c r="I90" s="41">
        <f t="shared" si="58"/>
        <v>1520000</v>
      </c>
      <c r="J90" s="29">
        <f t="shared" si="59"/>
        <v>0</v>
      </c>
      <c r="K90" s="42">
        <f t="shared" si="60"/>
        <v>-9291.8834841555272</v>
      </c>
      <c r="L90" s="33">
        <f t="shared" si="3"/>
        <v>0</v>
      </c>
      <c r="M90" s="196">
        <f t="shared" si="26"/>
        <v>16366.215325479592</v>
      </c>
      <c r="N90" s="29">
        <f t="shared" si="27"/>
        <v>16044.444444444445</v>
      </c>
      <c r="O90" s="30">
        <f t="shared" si="4"/>
        <v>321.77088103514689</v>
      </c>
      <c r="P90" s="43"/>
      <c r="Q90" s="44"/>
      <c r="R90" s="33"/>
      <c r="V90" s="45"/>
      <c r="W90" s="7"/>
      <c r="X90" s="7"/>
      <c r="Y90" s="46"/>
      <c r="Z90" s="7"/>
      <c r="AA90" s="7"/>
      <c r="AC90" s="7"/>
    </row>
    <row r="91" spans="1:29">
      <c r="A91" s="18">
        <v>44681</v>
      </c>
      <c r="B91" s="37">
        <f t="shared" si="0"/>
        <v>0</v>
      </c>
      <c r="C91" s="29"/>
      <c r="D91" s="29">
        <v>0</v>
      </c>
      <c r="E91" s="38"/>
      <c r="F91" s="39"/>
      <c r="G91" s="47"/>
      <c r="H91" s="24">
        <f t="shared" si="2"/>
        <v>1520100.9283995894</v>
      </c>
      <c r="I91" s="41">
        <f t="shared" si="58"/>
        <v>1520000</v>
      </c>
      <c r="J91" s="29">
        <f t="shared" si="59"/>
        <v>9288.8888888888887</v>
      </c>
      <c r="K91" s="42">
        <f t="shared" si="60"/>
        <v>-9187.9604892995812</v>
      </c>
      <c r="L91" s="33">
        <f t="shared" si="3"/>
        <v>0</v>
      </c>
      <c r="M91" s="196">
        <f t="shared" si="28"/>
        <v>9392.8118837448346</v>
      </c>
      <c r="N91" s="29">
        <f t="shared" si="29"/>
        <v>9288.8888888888887</v>
      </c>
      <c r="O91" s="30">
        <f t="shared" si="4"/>
        <v>103.92299485594594</v>
      </c>
      <c r="P91" s="43"/>
      <c r="Q91" s="44"/>
      <c r="R91" s="33"/>
      <c r="V91" s="45"/>
      <c r="W91" s="7"/>
      <c r="X91" s="7"/>
      <c r="Y91" s="46"/>
      <c r="Z91" s="7">
        <f t="shared" si="30"/>
        <v>25759.027209224427</v>
      </c>
      <c r="AA91" s="7"/>
      <c r="AC91" s="7"/>
    </row>
    <row r="92" spans="1:29">
      <c r="A92" s="18">
        <v>44701</v>
      </c>
      <c r="B92" s="37">
        <f t="shared" si="0"/>
        <v>-65333.333333333328</v>
      </c>
      <c r="C92" s="29">
        <v>-40000</v>
      </c>
      <c r="D92" s="29">
        <f t="shared" ref="D92" si="65">-I90*O$4*(A92-A90)/360</f>
        <v>-25333.333333333332</v>
      </c>
      <c r="E92" s="38"/>
      <c r="F92" s="39"/>
      <c r="G92" s="47"/>
      <c r="H92" s="24">
        <f t="shared" si="2"/>
        <v>1471129.303141966</v>
      </c>
      <c r="I92" s="41">
        <f t="shared" si="58"/>
        <v>1480000</v>
      </c>
      <c r="J92" s="29">
        <f t="shared" si="59"/>
        <v>0</v>
      </c>
      <c r="K92" s="42">
        <f t="shared" si="60"/>
        <v>-8870.6968580339726</v>
      </c>
      <c r="L92" s="33">
        <f t="shared" si="3"/>
        <v>0</v>
      </c>
      <c r="M92" s="196">
        <f t="shared" ref="M92:M154" si="66">H91*((100%+$O$8)^(A92-A91-1)-100%)</f>
        <v>16361.708075710054</v>
      </c>
      <c r="N92" s="29">
        <f t="shared" ref="N92:N155" si="67">I91*O$4*(A92-A91-1)/360</f>
        <v>16044.444444444445</v>
      </c>
      <c r="O92" s="30">
        <f t="shared" si="4"/>
        <v>317.26363126560864</v>
      </c>
      <c r="P92" s="43"/>
      <c r="Q92" s="44"/>
      <c r="R92" s="33"/>
      <c r="V92" s="45"/>
      <c r="W92" s="7"/>
      <c r="X92" s="7"/>
      <c r="Y92" s="46"/>
      <c r="Z92" s="7"/>
      <c r="AA92" s="7"/>
      <c r="AC92" s="7"/>
    </row>
    <row r="93" spans="1:29">
      <c r="A93" s="18">
        <v>44712</v>
      </c>
      <c r="B93" s="37">
        <f t="shared" si="0"/>
        <v>0</v>
      </c>
      <c r="C93" s="29"/>
      <c r="D93" s="29">
        <v>0</v>
      </c>
      <c r="E93" s="38"/>
      <c r="F93" s="39"/>
      <c r="G93" s="47"/>
      <c r="H93" s="24">
        <f t="shared" si="2"/>
        <v>1481110.3698586465</v>
      </c>
      <c r="I93" s="41">
        <f t="shared" si="58"/>
        <v>1480000</v>
      </c>
      <c r="J93" s="29">
        <f t="shared" si="59"/>
        <v>9866.6666666666661</v>
      </c>
      <c r="K93" s="42">
        <f t="shared" si="60"/>
        <v>-8756.296808020199</v>
      </c>
      <c r="L93" s="33">
        <f t="shared" si="3"/>
        <v>0</v>
      </c>
      <c r="M93" s="196">
        <f t="shared" ref="M93:M155" si="68">H92*((100%+$O$8)^(A93-A92+1)-100%)</f>
        <v>9981.0667166804396</v>
      </c>
      <c r="N93" s="29">
        <f t="shared" ref="N93:N156" si="69">I92*O$4*(A93-A92+1)/360</f>
        <v>9866.6666666666661</v>
      </c>
      <c r="O93" s="30">
        <f t="shared" si="4"/>
        <v>114.40005001377358</v>
      </c>
      <c r="P93" s="43"/>
      <c r="Q93" s="44"/>
      <c r="R93" s="33"/>
      <c r="V93" s="45"/>
      <c r="W93" s="7"/>
      <c r="X93" s="7"/>
      <c r="Y93" s="46"/>
      <c r="Z93" s="7">
        <f t="shared" ref="Z93:Z155" si="70">M93+M92</f>
        <v>26342.774792390494</v>
      </c>
      <c r="AA93" s="7"/>
      <c r="AC93" s="7"/>
    </row>
    <row r="94" spans="1:29">
      <c r="A94" s="18">
        <v>44732</v>
      </c>
      <c r="B94" s="37">
        <f t="shared" si="0"/>
        <v>-65488.888888888891</v>
      </c>
      <c r="C94" s="29">
        <v>-40000</v>
      </c>
      <c r="D94" s="29">
        <f t="shared" ref="D94" si="71">-I92*O$4*(A94-A92)/360</f>
        <v>-25488.888888888891</v>
      </c>
      <c r="E94" s="38"/>
      <c r="F94" s="39"/>
      <c r="G94" s="47"/>
      <c r="H94" s="24">
        <f t="shared" si="2"/>
        <v>1431563.5115591658</v>
      </c>
      <c r="I94" s="41">
        <f t="shared" si="58"/>
        <v>1440000</v>
      </c>
      <c r="J94" s="29">
        <f t="shared" si="59"/>
        <v>0</v>
      </c>
      <c r="K94" s="42">
        <f t="shared" si="60"/>
        <v>-8436.4884408341804</v>
      </c>
      <c r="L94" s="33">
        <f t="shared" si="3"/>
        <v>0</v>
      </c>
      <c r="M94" s="196">
        <f t="shared" si="66"/>
        <v>15942.030589408241</v>
      </c>
      <c r="N94" s="29">
        <f t="shared" si="67"/>
        <v>15622.222222222223</v>
      </c>
      <c r="O94" s="30">
        <f t="shared" si="4"/>
        <v>319.80836718601859</v>
      </c>
      <c r="P94" s="43"/>
      <c r="Q94" s="44"/>
      <c r="R94" s="33"/>
      <c r="V94" s="45"/>
      <c r="W94" s="7"/>
      <c r="X94" s="7"/>
      <c r="Y94" s="46"/>
      <c r="Z94" s="7"/>
      <c r="AA94" s="7"/>
      <c r="AC94" s="7"/>
    </row>
    <row r="95" spans="1:29">
      <c r="A95" s="18">
        <v>44742</v>
      </c>
      <c r="B95" s="37">
        <f t="shared" si="0"/>
        <v>0</v>
      </c>
      <c r="C95" s="29"/>
      <c r="D95" s="29">
        <v>0</v>
      </c>
      <c r="E95" s="38"/>
      <c r="F95" s="39"/>
      <c r="G95" s="47"/>
      <c r="H95" s="24">
        <f t="shared" si="2"/>
        <v>1440464.2426909478</v>
      </c>
      <c r="I95" s="41">
        <f t="shared" si="58"/>
        <v>1440000</v>
      </c>
      <c r="J95" s="29">
        <f t="shared" si="59"/>
        <v>8800</v>
      </c>
      <c r="K95" s="42">
        <f t="shared" si="60"/>
        <v>-8335.7573090521182</v>
      </c>
      <c r="L95" s="33">
        <f t="shared" si="3"/>
        <v>0</v>
      </c>
      <c r="M95" s="196">
        <f t="shared" si="68"/>
        <v>8900.7311317820622</v>
      </c>
      <c r="N95" s="29">
        <f t="shared" si="69"/>
        <v>8800</v>
      </c>
      <c r="O95" s="30">
        <f t="shared" si="4"/>
        <v>100.73113178206222</v>
      </c>
      <c r="P95" s="43"/>
      <c r="Q95" s="44"/>
      <c r="R95" s="33"/>
      <c r="V95" s="45"/>
      <c r="W95" s="7"/>
      <c r="X95" s="7"/>
      <c r="Y95" s="46"/>
      <c r="Z95" s="7">
        <f t="shared" si="70"/>
        <v>24842.761721190305</v>
      </c>
      <c r="AA95" s="7"/>
      <c r="AC95" s="7"/>
    </row>
    <row r="96" spans="1:29">
      <c r="A96" s="18">
        <v>44762</v>
      </c>
      <c r="B96" s="37">
        <f t="shared" si="0"/>
        <v>-64000</v>
      </c>
      <c r="C96" s="29">
        <v>-40000</v>
      </c>
      <c r="D96" s="29">
        <f t="shared" ref="D96" si="72">-I94*O$4*(A96-A94)/360</f>
        <v>-24000</v>
      </c>
      <c r="E96" s="38"/>
      <c r="F96" s="39"/>
      <c r="G96" s="47"/>
      <c r="H96" s="24">
        <f t="shared" si="2"/>
        <v>1391968.7759703412</v>
      </c>
      <c r="I96" s="41">
        <f t="shared" si="58"/>
        <v>1400000</v>
      </c>
      <c r="J96" s="29">
        <f t="shared" si="59"/>
        <v>0</v>
      </c>
      <c r="K96" s="42">
        <f t="shared" si="60"/>
        <v>-8031.2240296588425</v>
      </c>
      <c r="L96" s="33">
        <f t="shared" si="3"/>
        <v>0</v>
      </c>
      <c r="M96" s="196">
        <f t="shared" si="66"/>
        <v>15504.533279393276</v>
      </c>
      <c r="N96" s="29">
        <f t="shared" si="67"/>
        <v>15200</v>
      </c>
      <c r="O96" s="30">
        <f t="shared" si="4"/>
        <v>304.53327939327573</v>
      </c>
      <c r="P96" s="43"/>
      <c r="Q96" s="44"/>
      <c r="R96" s="33"/>
      <c r="V96" s="45"/>
      <c r="W96" s="7"/>
      <c r="X96" s="7"/>
      <c r="Y96" s="46"/>
      <c r="Z96" s="7"/>
      <c r="AA96" s="7"/>
      <c r="AC96" s="7"/>
    </row>
    <row r="97" spans="1:29">
      <c r="A97" s="18">
        <v>44773</v>
      </c>
      <c r="B97" s="37">
        <f t="shared" si="0"/>
        <v>0</v>
      </c>
      <c r="C97" s="29"/>
      <c r="D97" s="29">
        <v>0</v>
      </c>
      <c r="E97" s="38"/>
      <c r="F97" s="39"/>
      <c r="G97" s="47"/>
      <c r="H97" s="24">
        <f t="shared" si="2"/>
        <v>1401412.7678688257</v>
      </c>
      <c r="I97" s="41">
        <f t="shared" si="58"/>
        <v>1400000</v>
      </c>
      <c r="J97" s="29">
        <f t="shared" si="59"/>
        <v>9333.3333333333339</v>
      </c>
      <c r="K97" s="42">
        <f t="shared" si="60"/>
        <v>-7920.5654645076011</v>
      </c>
      <c r="L97" s="33">
        <f t="shared" si="3"/>
        <v>0</v>
      </c>
      <c r="M97" s="196">
        <f t="shared" si="68"/>
        <v>9443.9918984845754</v>
      </c>
      <c r="N97" s="29">
        <f t="shared" si="69"/>
        <v>9333.3333333333339</v>
      </c>
      <c r="O97" s="30">
        <f t="shared" si="4"/>
        <v>110.65856515124142</v>
      </c>
      <c r="P97" s="43"/>
      <c r="Q97" s="44"/>
      <c r="R97" s="33"/>
      <c r="V97" s="45"/>
      <c r="W97" s="7"/>
      <c r="X97" s="7"/>
      <c r="Y97" s="46"/>
      <c r="Z97" s="7">
        <f t="shared" si="70"/>
        <v>24948.525177877851</v>
      </c>
      <c r="AA97" s="7"/>
      <c r="AC97" s="7"/>
    </row>
    <row r="98" spans="1:29">
      <c r="A98" s="18">
        <v>44793</v>
      </c>
      <c r="B98" s="37">
        <f t="shared" si="0"/>
        <v>-64111.111111111109</v>
      </c>
      <c r="C98" s="29">
        <v>-40000</v>
      </c>
      <c r="D98" s="29">
        <f t="shared" ref="D98" si="73">-I96*O$4*(A98-A96)/360</f>
        <v>-24111.111111111109</v>
      </c>
      <c r="E98" s="38"/>
      <c r="F98" s="39"/>
      <c r="G98" s="47"/>
      <c r="H98" s="24">
        <f t="shared" si="2"/>
        <v>1352385.8568743367</v>
      </c>
      <c r="I98" s="41">
        <f t="shared" si="58"/>
        <v>1360000</v>
      </c>
      <c r="J98" s="29">
        <f t="shared" si="59"/>
        <v>0</v>
      </c>
      <c r="K98" s="42">
        <f t="shared" si="60"/>
        <v>-7614.143125663215</v>
      </c>
      <c r="L98" s="33">
        <f t="shared" si="3"/>
        <v>0</v>
      </c>
      <c r="M98" s="196">
        <f t="shared" si="66"/>
        <v>15084.200116622163</v>
      </c>
      <c r="N98" s="29">
        <f t="shared" si="67"/>
        <v>14777.777777777777</v>
      </c>
      <c r="O98" s="30">
        <f t="shared" si="4"/>
        <v>306.4223388443861</v>
      </c>
      <c r="P98" s="43"/>
      <c r="Q98" s="44"/>
      <c r="R98" s="33"/>
      <c r="V98" s="45"/>
      <c r="W98" s="7"/>
      <c r="X98" s="7"/>
      <c r="Y98" s="46"/>
      <c r="Z98" s="7"/>
      <c r="AA98" s="7"/>
      <c r="AC98" s="7"/>
    </row>
    <row r="99" spans="1:29">
      <c r="A99" s="18">
        <v>44804</v>
      </c>
      <c r="B99" s="37">
        <f t="shared" si="0"/>
        <v>0</v>
      </c>
      <c r="C99" s="29"/>
      <c r="D99" s="29">
        <v>0</v>
      </c>
      <c r="E99" s="38"/>
      <c r="F99" s="39"/>
      <c r="G99" s="47"/>
      <c r="H99" s="24">
        <f t="shared" si="2"/>
        <v>1361561.2933470716</v>
      </c>
      <c r="I99" s="41">
        <f t="shared" si="58"/>
        <v>1360000</v>
      </c>
      <c r="J99" s="29">
        <f t="shared" si="59"/>
        <v>9066.6666666666661</v>
      </c>
      <c r="K99" s="42">
        <f t="shared" si="60"/>
        <v>-7505.3733195950299</v>
      </c>
      <c r="L99" s="33">
        <f t="shared" si="3"/>
        <v>0</v>
      </c>
      <c r="M99" s="196">
        <f t="shared" si="68"/>
        <v>9175.4364727348511</v>
      </c>
      <c r="N99" s="29">
        <f t="shared" si="69"/>
        <v>9066.6666666666661</v>
      </c>
      <c r="O99" s="30">
        <f t="shared" si="4"/>
        <v>108.76980606818506</v>
      </c>
      <c r="P99" s="43"/>
      <c r="Q99" s="44"/>
      <c r="R99" s="33"/>
      <c r="V99" s="45"/>
      <c r="W99" s="7"/>
      <c r="X99" s="7"/>
      <c r="Y99" s="46"/>
      <c r="Z99" s="7">
        <f t="shared" si="70"/>
        <v>24259.636589357015</v>
      </c>
      <c r="AA99" s="7"/>
      <c r="AC99" s="7"/>
    </row>
    <row r="100" spans="1:29">
      <c r="A100" s="18">
        <v>44824</v>
      </c>
      <c r="B100" s="37">
        <f t="shared" si="0"/>
        <v>-63422.222222222219</v>
      </c>
      <c r="C100" s="29">
        <v>-40000</v>
      </c>
      <c r="D100" s="29">
        <f t="shared" ref="D100" si="74">-I98*O$4*(A100-A98)/360</f>
        <v>-23422.222222222223</v>
      </c>
      <c r="E100" s="38"/>
      <c r="F100" s="39"/>
      <c r="G100" s="47"/>
      <c r="H100" s="24">
        <f t="shared" si="2"/>
        <v>1312794.3272283934</v>
      </c>
      <c r="I100" s="41">
        <f t="shared" si="58"/>
        <v>1320000</v>
      </c>
      <c r="J100" s="29">
        <f t="shared" si="59"/>
        <v>0</v>
      </c>
      <c r="K100" s="42">
        <f t="shared" si="60"/>
        <v>-7205.6727716065689</v>
      </c>
      <c r="L100" s="33">
        <f t="shared" si="3"/>
        <v>0</v>
      </c>
      <c r="M100" s="196">
        <f t="shared" si="66"/>
        <v>14655.256103544016</v>
      </c>
      <c r="N100" s="29">
        <f t="shared" si="67"/>
        <v>14355.555555555555</v>
      </c>
      <c r="O100" s="30">
        <f t="shared" si="4"/>
        <v>299.70054798846104</v>
      </c>
      <c r="P100" s="43"/>
      <c r="Q100" s="44"/>
      <c r="R100" s="33"/>
      <c r="V100" s="45"/>
      <c r="W100" s="7"/>
      <c r="X100" s="7"/>
      <c r="Y100" s="46"/>
      <c r="Z100" s="7"/>
      <c r="AA100" s="7"/>
      <c r="AC100" s="7"/>
    </row>
    <row r="101" spans="1:29">
      <c r="A101" s="18">
        <v>44834</v>
      </c>
      <c r="B101" s="37">
        <f t="shared" si="0"/>
        <v>0</v>
      </c>
      <c r="C101" s="29"/>
      <c r="D101" s="29">
        <v>0</v>
      </c>
      <c r="E101" s="38"/>
      <c r="F101" s="39"/>
      <c r="G101" s="47"/>
      <c r="H101" s="24">
        <f t="shared" si="2"/>
        <v>1320956.6122011798</v>
      </c>
      <c r="I101" s="41">
        <f t="shared" si="58"/>
        <v>1320000</v>
      </c>
      <c r="J101" s="29">
        <f t="shared" si="59"/>
        <v>8066.666666666667</v>
      </c>
      <c r="K101" s="42">
        <f t="shared" si="60"/>
        <v>-7110.0544654868781</v>
      </c>
      <c r="L101" s="33">
        <f t="shared" si="3"/>
        <v>0</v>
      </c>
      <c r="M101" s="196">
        <f t="shared" si="68"/>
        <v>8162.2849727863577</v>
      </c>
      <c r="N101" s="29">
        <f t="shared" si="69"/>
        <v>8066.666666666667</v>
      </c>
      <c r="O101" s="30">
        <f t="shared" si="4"/>
        <v>95.618306119690715</v>
      </c>
      <c r="P101" s="43"/>
      <c r="Q101" s="44"/>
      <c r="R101" s="33"/>
      <c r="V101" s="45"/>
      <c r="W101" s="7"/>
      <c r="X101" s="7"/>
      <c r="Y101" s="46"/>
      <c r="Z101" s="7">
        <f t="shared" si="70"/>
        <v>22817.541076330373</v>
      </c>
      <c r="AA101" s="7"/>
      <c r="AC101" s="7"/>
    </row>
    <row r="102" spans="1:29">
      <c r="A102" s="18">
        <v>44854</v>
      </c>
      <c r="B102" s="37">
        <f t="shared" si="0"/>
        <v>-62000</v>
      </c>
      <c r="C102" s="29">
        <v>-40000</v>
      </c>
      <c r="D102" s="29">
        <f t="shared" ref="D102" si="75">-I100*O$4*(A102-A100)/360</f>
        <v>-22000</v>
      </c>
      <c r="E102" s="38"/>
      <c r="F102" s="39"/>
      <c r="G102" s="47"/>
      <c r="H102" s="24">
        <f t="shared" si="2"/>
        <v>1273174.8171017384</v>
      </c>
      <c r="I102" s="41">
        <f t="shared" si="58"/>
        <v>1280000</v>
      </c>
      <c r="J102" s="29">
        <f t="shared" si="59"/>
        <v>0</v>
      </c>
      <c r="K102" s="42">
        <f t="shared" si="60"/>
        <v>-6825.1828982616653</v>
      </c>
      <c r="L102" s="33">
        <f t="shared" si="3"/>
        <v>0</v>
      </c>
      <c r="M102" s="196">
        <f t="shared" si="66"/>
        <v>14218.204900558547</v>
      </c>
      <c r="N102" s="29">
        <f t="shared" si="67"/>
        <v>13933.333333333334</v>
      </c>
      <c r="O102" s="30">
        <f t="shared" si="4"/>
        <v>284.87156722521286</v>
      </c>
      <c r="P102" s="43"/>
      <c r="Q102" s="44"/>
      <c r="R102" s="33"/>
      <c r="V102" s="45"/>
      <c r="W102" s="7"/>
      <c r="X102" s="7"/>
      <c r="Y102" s="46"/>
      <c r="Z102" s="7"/>
      <c r="AA102" s="7"/>
      <c r="AC102" s="7"/>
    </row>
    <row r="103" spans="1:29">
      <c r="A103" s="18">
        <v>44865</v>
      </c>
      <c r="B103" s="37">
        <f t="shared" si="0"/>
        <v>0</v>
      </c>
      <c r="C103" s="29"/>
      <c r="D103" s="29">
        <v>0</v>
      </c>
      <c r="E103" s="38"/>
      <c r="F103" s="39"/>
      <c r="G103" s="47"/>
      <c r="H103" s="24">
        <f t="shared" si="2"/>
        <v>1281812.8360470135</v>
      </c>
      <c r="I103" s="41">
        <f t="shared" si="58"/>
        <v>1280000</v>
      </c>
      <c r="J103" s="29">
        <f t="shared" si="59"/>
        <v>8533.3333333333339</v>
      </c>
      <c r="K103" s="42">
        <f t="shared" si="60"/>
        <v>-6720.4972863197554</v>
      </c>
      <c r="L103" s="33">
        <f t="shared" si="3"/>
        <v>0</v>
      </c>
      <c r="M103" s="196">
        <f t="shared" si="68"/>
        <v>8638.0189452752438</v>
      </c>
      <c r="N103" s="29">
        <f t="shared" si="69"/>
        <v>8533.3333333333339</v>
      </c>
      <c r="O103" s="30">
        <f t="shared" si="4"/>
        <v>104.68561194190988</v>
      </c>
      <c r="P103" s="43"/>
      <c r="Q103" s="44"/>
      <c r="R103" s="33"/>
      <c r="V103" s="45"/>
      <c r="W103" s="7"/>
      <c r="X103" s="7"/>
      <c r="Y103" s="46"/>
      <c r="Z103" s="7">
        <f t="shared" si="70"/>
        <v>22856.223845833789</v>
      </c>
      <c r="AA103" s="7"/>
      <c r="AC103" s="7"/>
    </row>
    <row r="104" spans="1:29">
      <c r="A104" s="18">
        <v>44885</v>
      </c>
      <c r="B104" s="37">
        <f t="shared" si="0"/>
        <v>-62044.444444444445</v>
      </c>
      <c r="C104" s="29">
        <v>-40000</v>
      </c>
      <c r="D104" s="29">
        <f t="shared" ref="D104" si="76">-I102*O$4*(A104-A102)/360</f>
        <v>-22044.444444444445</v>
      </c>
      <c r="E104" s="38"/>
      <c r="F104" s="39"/>
      <c r="G104" s="47"/>
      <c r="H104" s="24">
        <f t="shared" si="2"/>
        <v>1233565.2698487919</v>
      </c>
      <c r="I104" s="41">
        <f t="shared" si="58"/>
        <v>1240000</v>
      </c>
      <c r="J104" s="29">
        <f t="shared" si="59"/>
        <v>0</v>
      </c>
      <c r="K104" s="42">
        <f t="shared" si="60"/>
        <v>-6434.730151208164</v>
      </c>
      <c r="L104" s="33">
        <f t="shared" si="3"/>
        <v>0</v>
      </c>
      <c r="M104" s="196">
        <f t="shared" si="66"/>
        <v>13796.878246222703</v>
      </c>
      <c r="N104" s="29">
        <f t="shared" si="67"/>
        <v>13511.111111111111</v>
      </c>
      <c r="O104" s="30">
        <f t="shared" si="4"/>
        <v>285.76713511159141</v>
      </c>
      <c r="P104" s="43"/>
      <c r="Q104" s="44"/>
      <c r="R104" s="33"/>
      <c r="V104" s="45"/>
      <c r="W104" s="7"/>
      <c r="X104" s="7"/>
      <c r="Y104" s="46"/>
      <c r="Z104" s="7"/>
      <c r="AA104" s="7"/>
      <c r="AC104" s="7"/>
    </row>
    <row r="105" spans="1:29">
      <c r="A105" s="18">
        <v>44895</v>
      </c>
      <c r="B105" s="37">
        <f t="shared" si="0"/>
        <v>0</v>
      </c>
      <c r="C105" s="29"/>
      <c r="D105" s="29">
        <v>0</v>
      </c>
      <c r="E105" s="38"/>
      <c r="F105" s="39"/>
      <c r="G105" s="47"/>
      <c r="H105" s="24">
        <f t="shared" si="2"/>
        <v>1241234.9489875608</v>
      </c>
      <c r="I105" s="41">
        <f t="shared" si="58"/>
        <v>1240000</v>
      </c>
      <c r="J105" s="29">
        <f t="shared" si="59"/>
        <v>7577.7777777777774</v>
      </c>
      <c r="K105" s="42">
        <f t="shared" si="60"/>
        <v>-6342.8287902169041</v>
      </c>
      <c r="L105" s="33">
        <f t="shared" si="3"/>
        <v>0</v>
      </c>
      <c r="M105" s="196">
        <f t="shared" si="68"/>
        <v>7669.6791387690373</v>
      </c>
      <c r="N105" s="29">
        <f t="shared" si="69"/>
        <v>7577.7777777777774</v>
      </c>
      <c r="O105" s="30">
        <f t="shared" si="4"/>
        <v>91.901360991259935</v>
      </c>
      <c r="P105" s="43"/>
      <c r="Q105" s="44"/>
      <c r="R105" s="33"/>
      <c r="V105" s="45"/>
      <c r="W105" s="7"/>
      <c r="X105" s="7"/>
      <c r="Y105" s="46"/>
      <c r="Z105" s="7">
        <f t="shared" si="70"/>
        <v>21466.557384991742</v>
      </c>
      <c r="AA105" s="7"/>
      <c r="AC105" s="7"/>
    </row>
    <row r="106" spans="1:29">
      <c r="A106" s="18">
        <v>44915</v>
      </c>
      <c r="B106" s="37">
        <f t="shared" si="0"/>
        <v>-60666.666666666672</v>
      </c>
      <c r="C106" s="29">
        <v>-40000</v>
      </c>
      <c r="D106" s="29">
        <f t="shared" ref="D106" si="77">-I104*O$4*(A106-A104)/360</f>
        <v>-20666.666666666668</v>
      </c>
      <c r="E106" s="38"/>
      <c r="F106" s="39"/>
      <c r="G106" s="47"/>
      <c r="H106" s="24">
        <f t="shared" si="2"/>
        <v>1193928.3977640739</v>
      </c>
      <c r="I106" s="41">
        <f t="shared" si="58"/>
        <v>1200000</v>
      </c>
      <c r="J106" s="29">
        <f t="shared" si="59"/>
        <v>0</v>
      </c>
      <c r="K106" s="42">
        <f t="shared" si="60"/>
        <v>-6071.6022359259759</v>
      </c>
      <c r="L106" s="33">
        <f t="shared" si="3"/>
        <v>0</v>
      </c>
      <c r="M106" s="196">
        <f t="shared" si="66"/>
        <v>13360.115443179817</v>
      </c>
      <c r="N106" s="29">
        <f t="shared" si="67"/>
        <v>13088.888888888889</v>
      </c>
      <c r="O106" s="30">
        <f t="shared" si="4"/>
        <v>271.22655429092811</v>
      </c>
      <c r="P106" s="43"/>
      <c r="Q106" s="44"/>
      <c r="R106" s="33"/>
      <c r="V106" s="45"/>
      <c r="W106" s="7"/>
      <c r="X106" s="7"/>
      <c r="Y106" s="46"/>
      <c r="Z106" s="7"/>
      <c r="AA106" s="7"/>
      <c r="AC106" s="7"/>
    </row>
    <row r="107" spans="1:29">
      <c r="A107" s="18">
        <v>44926</v>
      </c>
      <c r="B107" s="37">
        <f t="shared" si="0"/>
        <v>0</v>
      </c>
      <c r="C107" s="29"/>
      <c r="D107" s="29">
        <v>0</v>
      </c>
      <c r="E107" s="38"/>
      <c r="F107" s="39"/>
      <c r="G107" s="47"/>
      <c r="H107" s="24">
        <f t="shared" si="2"/>
        <v>1202028.7591446622</v>
      </c>
      <c r="I107" s="41">
        <f t="shared" si="58"/>
        <v>1200000</v>
      </c>
      <c r="J107" s="29">
        <f t="shared" si="59"/>
        <v>8000</v>
      </c>
      <c r="K107" s="42">
        <f t="shared" si="60"/>
        <v>-5971.2408553379173</v>
      </c>
      <c r="L107" s="33">
        <f t="shared" si="3"/>
        <v>0</v>
      </c>
      <c r="M107" s="196">
        <f t="shared" si="68"/>
        <v>8100.3613805880586</v>
      </c>
      <c r="N107" s="29">
        <f t="shared" si="69"/>
        <v>8000</v>
      </c>
      <c r="O107" s="30">
        <f t="shared" si="4"/>
        <v>100.36138058805864</v>
      </c>
      <c r="P107" s="43"/>
      <c r="Q107" s="44"/>
      <c r="R107" s="33"/>
      <c r="V107" s="45"/>
      <c r="W107" s="7"/>
      <c r="X107" s="7"/>
      <c r="Y107" s="46"/>
      <c r="Z107" s="7">
        <f t="shared" si="70"/>
        <v>21460.476823767876</v>
      </c>
      <c r="AA107" s="7"/>
      <c r="AC107" s="7"/>
    </row>
    <row r="108" spans="1:29">
      <c r="A108" s="18">
        <v>44946</v>
      </c>
      <c r="B108" s="37">
        <f t="shared" si="0"/>
        <v>-60666.666666666672</v>
      </c>
      <c r="C108" s="29">
        <v>-40000</v>
      </c>
      <c r="D108" s="29">
        <f t="shared" ref="D108" si="78">-I106*O$4*(A108-A106)/360</f>
        <v>-20666.666666666668</v>
      </c>
      <c r="E108" s="38"/>
      <c r="F108" s="39"/>
      <c r="G108" s="47"/>
      <c r="H108" s="24">
        <f t="shared" si="2"/>
        <v>1154300.2094729238</v>
      </c>
      <c r="I108" s="41">
        <f t="shared" si="58"/>
        <v>1160000</v>
      </c>
      <c r="J108" s="29">
        <f t="shared" si="59"/>
        <v>0</v>
      </c>
      <c r="K108" s="42">
        <f t="shared" si="60"/>
        <v>-5699.7905270763222</v>
      </c>
      <c r="L108" s="33">
        <f t="shared" si="3"/>
        <v>0</v>
      </c>
      <c r="M108" s="196">
        <f t="shared" si="66"/>
        <v>12938.116994928261</v>
      </c>
      <c r="N108" s="29">
        <f t="shared" si="67"/>
        <v>12666.666666666666</v>
      </c>
      <c r="O108" s="30">
        <f t="shared" si="4"/>
        <v>271.45032826159513</v>
      </c>
      <c r="P108" s="43"/>
      <c r="Q108" s="44"/>
      <c r="R108" s="33"/>
      <c r="V108" s="45"/>
      <c r="W108" s="7"/>
      <c r="X108" s="7"/>
      <c r="Y108" s="46"/>
      <c r="Z108" s="7"/>
      <c r="AA108" s="7"/>
      <c r="AC108" s="7"/>
    </row>
    <row r="109" spans="1:29">
      <c r="A109" s="18">
        <v>44957</v>
      </c>
      <c r="B109" s="37">
        <f t="shared" si="0"/>
        <v>0</v>
      </c>
      <c r="C109" s="29"/>
      <c r="D109" s="29">
        <v>0</v>
      </c>
      <c r="E109" s="38"/>
      <c r="F109" s="39"/>
      <c r="G109" s="47"/>
      <c r="H109" s="24">
        <f t="shared" si="2"/>
        <v>1162131.7082930622</v>
      </c>
      <c r="I109" s="41">
        <f t="shared" si="58"/>
        <v>1160000</v>
      </c>
      <c r="J109" s="29">
        <f t="shared" si="59"/>
        <v>7733.333333333333</v>
      </c>
      <c r="K109" s="42">
        <f t="shared" si="60"/>
        <v>-5601.6250402711694</v>
      </c>
      <c r="L109" s="33">
        <f t="shared" si="3"/>
        <v>0</v>
      </c>
      <c r="M109" s="196">
        <f t="shared" si="68"/>
        <v>7831.4988201384858</v>
      </c>
      <c r="N109" s="29">
        <f t="shared" si="69"/>
        <v>7733.333333333333</v>
      </c>
      <c r="O109" s="30">
        <f t="shared" si="4"/>
        <v>98.165486805152796</v>
      </c>
      <c r="P109" s="43"/>
      <c r="Q109" s="44"/>
      <c r="R109" s="33"/>
      <c r="V109" s="45"/>
      <c r="W109" s="7"/>
      <c r="X109" s="7"/>
      <c r="Y109" s="46"/>
      <c r="Z109" s="7">
        <f t="shared" si="70"/>
        <v>20769.615815066747</v>
      </c>
      <c r="AA109" s="7"/>
      <c r="AC109" s="7"/>
    </row>
    <row r="110" spans="1:29">
      <c r="A110" s="18">
        <v>44977</v>
      </c>
      <c r="B110" s="37">
        <f t="shared" si="0"/>
        <v>-59977.777777777781</v>
      </c>
      <c r="C110" s="29">
        <v>-40000</v>
      </c>
      <c r="D110" s="29">
        <f t="shared" ref="D110" si="79">-I108*O$4*(A110-A108)/360</f>
        <v>-19977.777777777777</v>
      </c>
      <c r="E110" s="38"/>
      <c r="F110" s="39"/>
      <c r="G110" s="47"/>
      <c r="H110" s="24">
        <f t="shared" si="2"/>
        <v>1114662.6129332581</v>
      </c>
      <c r="I110" s="41">
        <f t="shared" si="58"/>
        <v>1120000</v>
      </c>
      <c r="J110" s="29">
        <f t="shared" si="59"/>
        <v>0</v>
      </c>
      <c r="K110" s="42">
        <f t="shared" si="60"/>
        <v>-5337.3870667419969</v>
      </c>
      <c r="L110" s="33">
        <f t="shared" si="3"/>
        <v>0</v>
      </c>
      <c r="M110" s="196">
        <f t="shared" si="66"/>
        <v>12508.682417973618</v>
      </c>
      <c r="N110" s="29">
        <f t="shared" si="67"/>
        <v>12244.444444444445</v>
      </c>
      <c r="O110" s="30">
        <f t="shared" si="4"/>
        <v>264.23797352917245</v>
      </c>
      <c r="P110" s="43"/>
      <c r="Q110" s="44"/>
      <c r="R110" s="33"/>
      <c r="V110" s="45"/>
      <c r="W110" s="7"/>
      <c r="X110" s="7"/>
      <c r="Y110" s="46"/>
      <c r="Z110" s="7"/>
      <c r="AA110" s="7"/>
      <c r="AC110" s="7"/>
    </row>
    <row r="111" spans="1:29">
      <c r="A111" s="18">
        <v>44985</v>
      </c>
      <c r="B111" s="37">
        <f t="shared" si="0"/>
        <v>0</v>
      </c>
      <c r="C111" s="29"/>
      <c r="D111" s="29">
        <v>0</v>
      </c>
      <c r="E111" s="38"/>
      <c r="F111" s="39"/>
      <c r="G111" s="47"/>
      <c r="H111" s="24">
        <f t="shared" si="2"/>
        <v>1120329.7455588528</v>
      </c>
      <c r="I111" s="41">
        <f t="shared" si="58"/>
        <v>1120000</v>
      </c>
      <c r="J111" s="29">
        <f t="shared" si="59"/>
        <v>5600</v>
      </c>
      <c r="K111" s="42">
        <f t="shared" si="60"/>
        <v>-5270.2544411472272</v>
      </c>
      <c r="L111" s="33">
        <f t="shared" si="3"/>
        <v>0</v>
      </c>
      <c r="M111" s="196">
        <f t="shared" si="68"/>
        <v>5667.1326255947697</v>
      </c>
      <c r="N111" s="29">
        <f t="shared" si="69"/>
        <v>5600</v>
      </c>
      <c r="O111" s="30">
        <f t="shared" si="4"/>
        <v>67.132625594769706</v>
      </c>
      <c r="P111" s="43"/>
      <c r="Q111" s="44"/>
      <c r="R111" s="33"/>
      <c r="V111" s="45"/>
      <c r="W111" s="7"/>
      <c r="X111" s="7"/>
      <c r="Y111" s="46"/>
      <c r="Z111" s="7">
        <f t="shared" si="70"/>
        <v>18175.815043568386</v>
      </c>
      <c r="AA111" s="7"/>
      <c r="AC111" s="7"/>
    </row>
    <row r="112" spans="1:29">
      <c r="A112" s="18">
        <v>45005</v>
      </c>
      <c r="B112" s="37">
        <f t="shared" si="0"/>
        <v>-57422.222222222219</v>
      </c>
      <c r="C112" s="29">
        <v>-40000</v>
      </c>
      <c r="D112" s="29">
        <f t="shared" ref="D112" si="80">-I110*O$4*(A112-A110)/360</f>
        <v>-17422.222222222223</v>
      </c>
      <c r="E112" s="38"/>
      <c r="F112" s="39"/>
      <c r="G112" s="47"/>
      <c r="H112" s="24">
        <f t="shared" si="2"/>
        <v>1074966.2675311146</v>
      </c>
      <c r="I112" s="41">
        <f t="shared" si="58"/>
        <v>1080000</v>
      </c>
      <c r="J112" s="29">
        <f t="shared" si="59"/>
        <v>0</v>
      </c>
      <c r="K112" s="42">
        <f t="shared" si="60"/>
        <v>-5033.7324688853287</v>
      </c>
      <c r="L112" s="33">
        <f t="shared" si="3"/>
        <v>0</v>
      </c>
      <c r="M112" s="196">
        <f t="shared" si="66"/>
        <v>12058.744194484121</v>
      </c>
      <c r="N112" s="29">
        <f t="shared" si="67"/>
        <v>11822.222222222223</v>
      </c>
      <c r="O112" s="30">
        <f t="shared" si="4"/>
        <v>236.52197226189855</v>
      </c>
      <c r="P112" s="43"/>
      <c r="Q112" s="44"/>
      <c r="R112" s="33"/>
      <c r="V112" s="45"/>
      <c r="W112" s="7"/>
      <c r="X112" s="7"/>
      <c r="Y112" s="46"/>
      <c r="Z112" s="7"/>
      <c r="AA112" s="7"/>
      <c r="AC112" s="7"/>
    </row>
    <row r="113" spans="1:29">
      <c r="A113" s="18">
        <v>45016</v>
      </c>
      <c r="B113" s="37">
        <f t="shared" si="0"/>
        <v>0</v>
      </c>
      <c r="C113" s="29"/>
      <c r="D113" s="29">
        <v>0</v>
      </c>
      <c r="E113" s="38"/>
      <c r="F113" s="39"/>
      <c r="G113" s="47"/>
      <c r="H113" s="24">
        <f t="shared" si="2"/>
        <v>1082259.5149781569</v>
      </c>
      <c r="I113" s="41">
        <f t="shared" si="58"/>
        <v>1080000</v>
      </c>
      <c r="J113" s="29">
        <f t="shared" si="59"/>
        <v>7200</v>
      </c>
      <c r="K113" s="42">
        <f t="shared" si="60"/>
        <v>-4940.4850218431993</v>
      </c>
      <c r="L113" s="33">
        <f t="shared" si="3"/>
        <v>0</v>
      </c>
      <c r="M113" s="196">
        <f t="shared" si="68"/>
        <v>7293.2474470421294</v>
      </c>
      <c r="N113" s="29">
        <f t="shared" si="69"/>
        <v>7200</v>
      </c>
      <c r="O113" s="30">
        <f t="shared" si="4"/>
        <v>93.247447042129352</v>
      </c>
      <c r="P113" s="43"/>
      <c r="Q113" s="44"/>
      <c r="R113" s="33"/>
      <c r="V113" s="45"/>
      <c r="W113" s="7"/>
      <c r="X113" s="7"/>
      <c r="Y113" s="46"/>
      <c r="Z113" s="7">
        <f t="shared" si="70"/>
        <v>19351.991641526249</v>
      </c>
      <c r="AA113" s="7"/>
      <c r="AC113" s="7"/>
    </row>
    <row r="114" spans="1:29">
      <c r="A114" s="18">
        <v>45036</v>
      </c>
      <c r="B114" s="37">
        <f t="shared" si="0"/>
        <v>-58600</v>
      </c>
      <c r="C114" s="29">
        <v>-40000</v>
      </c>
      <c r="D114" s="29">
        <f t="shared" ref="D114" si="81">-I112*O$4*(A114-A112)/360</f>
        <v>-18600</v>
      </c>
      <c r="E114" s="38"/>
      <c r="F114" s="39"/>
      <c r="G114" s="47"/>
      <c r="H114" s="24">
        <f t="shared" si="2"/>
        <v>1035308.4876979323</v>
      </c>
      <c r="I114" s="41">
        <f t="shared" si="58"/>
        <v>1040000</v>
      </c>
      <c r="J114" s="29">
        <f t="shared" si="59"/>
        <v>0</v>
      </c>
      <c r="K114" s="42">
        <f t="shared" si="60"/>
        <v>-4691.5123020677465</v>
      </c>
      <c r="L114" s="33">
        <f t="shared" si="3"/>
        <v>0</v>
      </c>
      <c r="M114" s="196">
        <f t="shared" si="66"/>
        <v>11648.972719775453</v>
      </c>
      <c r="N114" s="29">
        <f t="shared" si="67"/>
        <v>11400</v>
      </c>
      <c r="O114" s="30">
        <f t="shared" si="4"/>
        <v>248.97271977545279</v>
      </c>
      <c r="P114" s="43"/>
      <c r="Q114" s="44"/>
      <c r="R114" s="33"/>
      <c r="V114" s="45"/>
      <c r="W114" s="7"/>
      <c r="X114" s="7"/>
      <c r="Y114" s="46"/>
      <c r="Z114" s="7"/>
      <c r="AA114" s="7"/>
      <c r="AC114" s="7"/>
    </row>
    <row r="115" spans="1:29">
      <c r="A115" s="18">
        <v>45046</v>
      </c>
      <c r="B115" s="37">
        <f t="shared" si="0"/>
        <v>0</v>
      </c>
      <c r="C115" s="29"/>
      <c r="D115" s="29">
        <v>0</v>
      </c>
      <c r="E115" s="38"/>
      <c r="F115" s="39"/>
      <c r="G115" s="47"/>
      <c r="H115" s="24">
        <f t="shared" si="2"/>
        <v>1041745.5073712087</v>
      </c>
      <c r="I115" s="41">
        <f t="shared" si="58"/>
        <v>1040000</v>
      </c>
      <c r="J115" s="29">
        <f t="shared" si="59"/>
        <v>6355.5555555555557</v>
      </c>
      <c r="K115" s="42">
        <f t="shared" si="60"/>
        <v>-4610.0481843467669</v>
      </c>
      <c r="L115" s="33">
        <f t="shared" si="3"/>
        <v>0</v>
      </c>
      <c r="M115" s="196">
        <f t="shared" si="68"/>
        <v>6437.0196732765353</v>
      </c>
      <c r="N115" s="29">
        <f t="shared" si="69"/>
        <v>6355.5555555555557</v>
      </c>
      <c r="O115" s="30">
        <f t="shared" si="4"/>
        <v>81.46411772097963</v>
      </c>
      <c r="P115" s="43"/>
      <c r="Q115" s="44"/>
      <c r="R115" s="33"/>
      <c r="V115" s="45"/>
      <c r="W115" s="7"/>
      <c r="X115" s="7"/>
      <c r="Y115" s="46"/>
      <c r="Z115" s="7">
        <f t="shared" si="70"/>
        <v>18085.992393051987</v>
      </c>
      <c r="AA115" s="7"/>
      <c r="AC115" s="7"/>
    </row>
    <row r="116" spans="1:29">
      <c r="A116" s="18">
        <v>45066</v>
      </c>
      <c r="B116" s="37">
        <f t="shared" si="0"/>
        <v>-57333.333333333328</v>
      </c>
      <c r="C116" s="29">
        <v>-40000</v>
      </c>
      <c r="D116" s="29">
        <f t="shared" ref="D116" si="82">-I114*O$4*(A116-A114)/360</f>
        <v>-17333.333333333332</v>
      </c>
      <c r="E116" s="38"/>
      <c r="F116" s="39"/>
      <c r="G116" s="47"/>
      <c r="H116" s="24">
        <f t="shared" si="2"/>
        <v>995625.07152537024</v>
      </c>
      <c r="I116" s="41">
        <f t="shared" si="58"/>
        <v>1000000</v>
      </c>
      <c r="J116" s="29">
        <f t="shared" si="59"/>
        <v>0</v>
      </c>
      <c r="K116" s="42">
        <f t="shared" si="60"/>
        <v>-4374.9284746298063</v>
      </c>
      <c r="L116" s="33">
        <f t="shared" si="3"/>
        <v>0</v>
      </c>
      <c r="M116" s="196">
        <f t="shared" si="66"/>
        <v>11212.897487494738</v>
      </c>
      <c r="N116" s="29">
        <f t="shared" si="67"/>
        <v>10977.777777777777</v>
      </c>
      <c r="O116" s="30">
        <f t="shared" si="4"/>
        <v>235.11970971696064</v>
      </c>
      <c r="P116" s="43"/>
      <c r="Q116" s="44"/>
      <c r="R116" s="33"/>
      <c r="V116" s="45"/>
      <c r="W116" s="7"/>
      <c r="X116" s="7"/>
      <c r="Y116" s="46"/>
      <c r="Z116" s="7"/>
      <c r="AA116" s="7"/>
      <c r="AC116" s="7"/>
    </row>
    <row r="117" spans="1:29">
      <c r="A117" s="18">
        <v>45077</v>
      </c>
      <c r="B117" s="37">
        <f t="shared" si="0"/>
        <v>0</v>
      </c>
      <c r="C117" s="29"/>
      <c r="D117" s="29">
        <v>0</v>
      </c>
      <c r="E117" s="38"/>
      <c r="F117" s="39"/>
      <c r="G117" s="47"/>
      <c r="H117" s="24">
        <f t="shared" si="2"/>
        <v>1002380.0183831825</v>
      </c>
      <c r="I117" s="41">
        <f t="shared" si="58"/>
        <v>1000000</v>
      </c>
      <c r="J117" s="29">
        <f t="shared" si="59"/>
        <v>6666.666666666667</v>
      </c>
      <c r="K117" s="42">
        <f t="shared" si="60"/>
        <v>-4286.6482834841499</v>
      </c>
      <c r="L117" s="33">
        <f t="shared" si="3"/>
        <v>0</v>
      </c>
      <c r="M117" s="196">
        <f t="shared" si="68"/>
        <v>6754.9468578123233</v>
      </c>
      <c r="N117" s="29">
        <f t="shared" si="69"/>
        <v>6666.666666666667</v>
      </c>
      <c r="O117" s="30">
        <f t="shared" si="4"/>
        <v>88.280191145656318</v>
      </c>
      <c r="P117" s="43"/>
      <c r="Q117" s="44"/>
      <c r="R117" s="33"/>
      <c r="V117" s="45"/>
      <c r="W117" s="7"/>
      <c r="X117" s="7"/>
      <c r="Y117" s="46"/>
      <c r="Z117" s="7">
        <f t="shared" si="70"/>
        <v>17967.844345307061</v>
      </c>
      <c r="AA117" s="7"/>
      <c r="AC117" s="7"/>
    </row>
    <row r="118" spans="1:29">
      <c r="A118" s="18">
        <v>45097</v>
      </c>
      <c r="B118" s="37">
        <f t="shared" si="0"/>
        <v>-57222.222222222219</v>
      </c>
      <c r="C118" s="29">
        <v>-40000</v>
      </c>
      <c r="D118" s="29">
        <f t="shared" ref="D118" si="83">-I116*O$4*(A118-A116)/360</f>
        <v>-17222.222222222223</v>
      </c>
      <c r="E118" s="38"/>
      <c r="F118" s="39"/>
      <c r="G118" s="47"/>
      <c r="H118" s="24">
        <f t="shared" si="2"/>
        <v>955946.98057319375</v>
      </c>
      <c r="I118" s="41">
        <f t="shared" si="58"/>
        <v>960000</v>
      </c>
      <c r="J118" s="29">
        <f t="shared" si="59"/>
        <v>0</v>
      </c>
      <c r="K118" s="42">
        <f t="shared" si="60"/>
        <v>-4053.0194268062132</v>
      </c>
      <c r="L118" s="33">
        <f t="shared" si="3"/>
        <v>0</v>
      </c>
      <c r="M118" s="196">
        <f t="shared" si="66"/>
        <v>10789.184412233491</v>
      </c>
      <c r="N118" s="29">
        <f t="shared" si="67"/>
        <v>10555.555555555555</v>
      </c>
      <c r="O118" s="30">
        <f t="shared" si="4"/>
        <v>233.62885667793671</v>
      </c>
      <c r="P118" s="43"/>
      <c r="Q118" s="44"/>
      <c r="R118" s="33"/>
      <c r="V118" s="45"/>
      <c r="W118" s="7"/>
      <c r="X118" s="7"/>
      <c r="Y118" s="46"/>
      <c r="Z118" s="7"/>
      <c r="AA118" s="7"/>
      <c r="AC118" s="7"/>
    </row>
    <row r="119" spans="1:29">
      <c r="A119" s="18">
        <v>45107</v>
      </c>
      <c r="B119" s="37">
        <f t="shared" si="0"/>
        <v>0</v>
      </c>
      <c r="C119" s="29"/>
      <c r="D119" s="29">
        <v>0</v>
      </c>
      <c r="E119" s="38"/>
      <c r="F119" s="39"/>
      <c r="G119" s="47"/>
      <c r="H119" s="24">
        <f t="shared" si="2"/>
        <v>961890.57090755051</v>
      </c>
      <c r="I119" s="41">
        <f t="shared" si="58"/>
        <v>960000</v>
      </c>
      <c r="J119" s="29">
        <f t="shared" si="59"/>
        <v>5866.666666666667</v>
      </c>
      <c r="K119" s="42">
        <f t="shared" si="60"/>
        <v>-3976.095759116115</v>
      </c>
      <c r="L119" s="33">
        <f t="shared" si="3"/>
        <v>0</v>
      </c>
      <c r="M119" s="196">
        <f t="shared" si="68"/>
        <v>5943.5903343567652</v>
      </c>
      <c r="N119" s="29">
        <f t="shared" si="69"/>
        <v>5866.666666666667</v>
      </c>
      <c r="O119" s="30">
        <f t="shared" si="4"/>
        <v>76.923667690098227</v>
      </c>
      <c r="P119" s="43"/>
      <c r="Q119" s="44"/>
      <c r="R119" s="33"/>
      <c r="V119" s="45"/>
      <c r="W119" s="7"/>
      <c r="X119" s="7"/>
      <c r="Y119" s="46"/>
      <c r="Z119" s="7">
        <f t="shared" si="70"/>
        <v>16732.774746590258</v>
      </c>
      <c r="AA119" s="7"/>
      <c r="AC119" s="7"/>
    </row>
    <row r="120" spans="1:29">
      <c r="A120" s="18">
        <v>45127</v>
      </c>
      <c r="B120" s="37">
        <f t="shared" si="0"/>
        <v>-56000</v>
      </c>
      <c r="C120" s="29">
        <v>-40000</v>
      </c>
      <c r="D120" s="29">
        <f t="shared" ref="D120" si="84">-I118*O$4*(A120-A118)/360</f>
        <v>-16000</v>
      </c>
      <c r="E120" s="38"/>
      <c r="F120" s="39"/>
      <c r="G120" s="47"/>
      <c r="H120" s="24">
        <f t="shared" si="2"/>
        <v>916243.94444212038</v>
      </c>
      <c r="I120" s="41">
        <f t="shared" si="58"/>
        <v>920000</v>
      </c>
      <c r="J120" s="29">
        <f t="shared" si="59"/>
        <v>0</v>
      </c>
      <c r="K120" s="42">
        <f t="shared" si="60"/>
        <v>-3756.0555578795611</v>
      </c>
      <c r="L120" s="33">
        <f t="shared" si="3"/>
        <v>0</v>
      </c>
      <c r="M120" s="196">
        <f t="shared" si="66"/>
        <v>10353.373534569888</v>
      </c>
      <c r="N120" s="29">
        <f t="shared" si="67"/>
        <v>10133.333333333334</v>
      </c>
      <c r="O120" s="30">
        <f t="shared" si="4"/>
        <v>220.04020123655391</v>
      </c>
      <c r="P120" s="43"/>
      <c r="Q120" s="44"/>
      <c r="R120" s="33"/>
      <c r="V120" s="45"/>
      <c r="W120" s="7"/>
      <c r="X120" s="7"/>
      <c r="Y120" s="46"/>
      <c r="Z120" s="7"/>
      <c r="AA120" s="7"/>
      <c r="AC120" s="7"/>
    </row>
    <row r="121" spans="1:29">
      <c r="A121" s="18">
        <v>45138</v>
      </c>
      <c r="B121" s="37">
        <f t="shared" si="0"/>
        <v>0</v>
      </c>
      <c r="C121" s="29"/>
      <c r="D121" s="29">
        <v>0</v>
      </c>
      <c r="E121" s="38"/>
      <c r="F121" s="39"/>
      <c r="G121" s="47"/>
      <c r="H121" s="24">
        <f t="shared" si="2"/>
        <v>922460.31979315158</v>
      </c>
      <c r="I121" s="41">
        <f t="shared" si="58"/>
        <v>920000</v>
      </c>
      <c r="J121" s="29">
        <f t="shared" si="59"/>
        <v>6133.333333333333</v>
      </c>
      <c r="K121" s="42">
        <f t="shared" si="60"/>
        <v>-3673.0135401818115</v>
      </c>
      <c r="L121" s="33">
        <f t="shared" si="3"/>
        <v>0</v>
      </c>
      <c r="M121" s="196">
        <f t="shared" si="68"/>
        <v>6216.3753510310826</v>
      </c>
      <c r="N121" s="29">
        <f t="shared" si="69"/>
        <v>6133.333333333333</v>
      </c>
      <c r="O121" s="30">
        <f t="shared" si="4"/>
        <v>83.042017697749543</v>
      </c>
      <c r="P121" s="43"/>
      <c r="Q121" s="44"/>
      <c r="R121" s="33"/>
      <c r="V121" s="45"/>
      <c r="W121" s="7"/>
      <c r="X121" s="7"/>
      <c r="Y121" s="46"/>
      <c r="Z121" s="7">
        <f t="shared" si="70"/>
        <v>16569.74888560097</v>
      </c>
      <c r="AA121" s="7"/>
      <c r="AC121" s="7"/>
    </row>
    <row r="122" spans="1:29">
      <c r="A122" s="18">
        <v>45158</v>
      </c>
      <c r="B122" s="37">
        <f t="shared" si="0"/>
        <v>-55844.444444444445</v>
      </c>
      <c r="C122" s="29">
        <v>-40000</v>
      </c>
      <c r="D122" s="29">
        <f t="shared" ref="D122" si="85">-I120*O$4*(A122-A120)/360</f>
        <v>-15844.444444444445</v>
      </c>
      <c r="E122" s="38"/>
      <c r="F122" s="39"/>
      <c r="G122" s="47"/>
      <c r="H122" s="24">
        <f t="shared" si="2"/>
        <v>876544.83873653435</v>
      </c>
      <c r="I122" s="41">
        <f t="shared" si="58"/>
        <v>880000</v>
      </c>
      <c r="J122" s="29">
        <f t="shared" si="59"/>
        <v>0</v>
      </c>
      <c r="K122" s="42">
        <f t="shared" si="60"/>
        <v>-3455.1612634657049</v>
      </c>
      <c r="L122" s="33">
        <f t="shared" si="3"/>
        <v>0</v>
      </c>
      <c r="M122" s="196">
        <f t="shared" si="66"/>
        <v>9928.963387827218</v>
      </c>
      <c r="N122" s="29">
        <f t="shared" si="67"/>
        <v>9711.1111111111113</v>
      </c>
      <c r="O122" s="30">
        <f t="shared" si="4"/>
        <v>217.85227671610664</v>
      </c>
      <c r="P122" s="43"/>
      <c r="Q122" s="44"/>
      <c r="R122" s="33"/>
      <c r="V122" s="45"/>
      <c r="W122" s="7"/>
      <c r="X122" s="7"/>
      <c r="Y122" s="46"/>
      <c r="Z122" s="7"/>
      <c r="AA122" s="7"/>
      <c r="AC122" s="7"/>
    </row>
    <row r="123" spans="1:29">
      <c r="A123" s="18">
        <v>45169</v>
      </c>
      <c r="B123" s="37">
        <f t="shared" si="0"/>
        <v>0</v>
      </c>
      <c r="C123" s="29"/>
      <c r="D123" s="29">
        <v>0</v>
      </c>
      <c r="E123" s="38"/>
      <c r="F123" s="39"/>
      <c r="G123" s="47"/>
      <c r="H123" s="24">
        <f t="shared" si="2"/>
        <v>882491.87037876027</v>
      </c>
      <c r="I123" s="41">
        <f t="shared" si="58"/>
        <v>880000</v>
      </c>
      <c r="J123" s="29">
        <f t="shared" si="59"/>
        <v>5866.666666666667</v>
      </c>
      <c r="K123" s="42">
        <f t="shared" si="60"/>
        <v>-3374.7962879063107</v>
      </c>
      <c r="L123" s="33">
        <f t="shared" si="3"/>
        <v>0</v>
      </c>
      <c r="M123" s="196">
        <f t="shared" si="68"/>
        <v>5947.0316422260612</v>
      </c>
      <c r="N123" s="29">
        <f t="shared" si="69"/>
        <v>5866.666666666667</v>
      </c>
      <c r="O123" s="30">
        <f t="shared" si="4"/>
        <v>80.364975559394225</v>
      </c>
      <c r="P123" s="43"/>
      <c r="Q123" s="44"/>
      <c r="R123" s="33"/>
      <c r="V123" s="45"/>
      <c r="W123" s="7"/>
      <c r="X123" s="7"/>
      <c r="Y123" s="46"/>
      <c r="Z123" s="7">
        <f t="shared" si="70"/>
        <v>15875.99503005328</v>
      </c>
      <c r="AA123" s="7"/>
      <c r="AC123" s="7"/>
    </row>
    <row r="124" spans="1:29">
      <c r="A124" s="18">
        <v>45189</v>
      </c>
      <c r="B124" s="37">
        <f t="shared" si="0"/>
        <v>-55155.555555555555</v>
      </c>
      <c r="C124" s="29">
        <v>-40000</v>
      </c>
      <c r="D124" s="29">
        <f t="shared" ref="D124" si="86">-I122*O$4*(A124-A122)/360</f>
        <v>-15155.555555555555</v>
      </c>
      <c r="E124" s="38"/>
      <c r="F124" s="39"/>
      <c r="G124" s="47"/>
      <c r="H124" s="24">
        <f t="shared" si="2"/>
        <v>836835.07513086847</v>
      </c>
      <c r="I124" s="41">
        <f t="shared" si="58"/>
        <v>840000</v>
      </c>
      <c r="J124" s="29">
        <f t="shared" si="59"/>
        <v>0</v>
      </c>
      <c r="K124" s="42">
        <f t="shared" si="60"/>
        <v>-3164.9248691315843</v>
      </c>
      <c r="L124" s="33">
        <f t="shared" si="3"/>
        <v>0</v>
      </c>
      <c r="M124" s="196">
        <f t="shared" si="66"/>
        <v>9498.7603076636151</v>
      </c>
      <c r="N124" s="29">
        <f t="shared" si="67"/>
        <v>9288.8888888888887</v>
      </c>
      <c r="O124" s="30">
        <f t="shared" si="4"/>
        <v>209.87141877472641</v>
      </c>
      <c r="P124" s="43"/>
      <c r="Q124" s="44"/>
      <c r="R124" s="33"/>
      <c r="V124" s="45"/>
      <c r="W124" s="7"/>
      <c r="X124" s="7"/>
      <c r="Y124" s="46"/>
      <c r="Z124" s="7"/>
      <c r="AA124" s="7"/>
      <c r="AC124" s="7"/>
    </row>
    <row r="125" spans="1:29">
      <c r="A125" s="18">
        <v>45199</v>
      </c>
      <c r="B125" s="37">
        <f t="shared" si="0"/>
        <v>0</v>
      </c>
      <c r="C125" s="29"/>
      <c r="D125" s="29">
        <v>0</v>
      </c>
      <c r="E125" s="38"/>
      <c r="F125" s="39"/>
      <c r="G125" s="47"/>
      <c r="H125" s="24">
        <f t="shared" si="2"/>
        <v>842038.08844130975</v>
      </c>
      <c r="I125" s="41">
        <f t="shared" si="58"/>
        <v>840000</v>
      </c>
      <c r="J125" s="29">
        <f t="shared" si="59"/>
        <v>5133.333333333333</v>
      </c>
      <c r="K125" s="42">
        <f t="shared" si="60"/>
        <v>-3095.2448920235656</v>
      </c>
      <c r="L125" s="33">
        <f t="shared" si="3"/>
        <v>0</v>
      </c>
      <c r="M125" s="196">
        <f t="shared" si="68"/>
        <v>5203.0133104413517</v>
      </c>
      <c r="N125" s="29">
        <f t="shared" si="69"/>
        <v>5133.333333333333</v>
      </c>
      <c r="O125" s="30">
        <f t="shared" si="4"/>
        <v>69.679977108018647</v>
      </c>
      <c r="P125" s="43"/>
      <c r="Q125" s="44"/>
      <c r="R125" s="33"/>
      <c r="V125" s="45"/>
      <c r="W125" s="7"/>
      <c r="X125" s="7"/>
      <c r="Y125" s="46"/>
      <c r="Z125" s="7">
        <f t="shared" si="70"/>
        <v>14701.773618104966</v>
      </c>
      <c r="AA125" s="7"/>
      <c r="AC125" s="7"/>
    </row>
    <row r="126" spans="1:29">
      <c r="A126" s="18">
        <v>45219</v>
      </c>
      <c r="B126" s="37">
        <f t="shared" si="0"/>
        <v>-54000</v>
      </c>
      <c r="C126" s="29">
        <v>-40000</v>
      </c>
      <c r="D126" s="29">
        <f t="shared" ref="D126" si="87">-I124*O$4*(A126-A124)/360</f>
        <v>-14000</v>
      </c>
      <c r="E126" s="38"/>
      <c r="F126" s="39"/>
      <c r="G126" s="47"/>
      <c r="H126" s="24">
        <f t="shared" si="2"/>
        <v>797101.42175971693</v>
      </c>
      <c r="I126" s="41">
        <f t="shared" si="58"/>
        <v>800000</v>
      </c>
      <c r="J126" s="29">
        <f t="shared" si="59"/>
        <v>0</v>
      </c>
      <c r="K126" s="42">
        <f t="shared" si="60"/>
        <v>-2898.5782402830846</v>
      </c>
      <c r="L126" s="33">
        <f t="shared" si="3"/>
        <v>0</v>
      </c>
      <c r="M126" s="196">
        <f t="shared" si="66"/>
        <v>9063.3333184071471</v>
      </c>
      <c r="N126" s="29">
        <f t="shared" si="67"/>
        <v>8866.6666666666661</v>
      </c>
      <c r="O126" s="30">
        <f t="shared" si="4"/>
        <v>196.66665174048103</v>
      </c>
      <c r="P126" s="43"/>
      <c r="Q126" s="44"/>
      <c r="R126" s="33"/>
      <c r="V126" s="45"/>
      <c r="W126" s="7"/>
      <c r="X126" s="7"/>
      <c r="Y126" s="46"/>
      <c r="Z126" s="7"/>
      <c r="AA126" s="7"/>
      <c r="AC126" s="7"/>
    </row>
    <row r="127" spans="1:29">
      <c r="A127" s="18">
        <v>45230</v>
      </c>
      <c r="B127" s="37">
        <f t="shared" si="0"/>
        <v>0</v>
      </c>
      <c r="C127" s="29"/>
      <c r="D127" s="29">
        <v>0</v>
      </c>
      <c r="E127" s="38"/>
      <c r="F127" s="39"/>
      <c r="G127" s="47"/>
      <c r="H127" s="24">
        <f t="shared" si="2"/>
        <v>802509.4592813357</v>
      </c>
      <c r="I127" s="41">
        <f t="shared" si="58"/>
        <v>800000</v>
      </c>
      <c r="J127" s="29">
        <f t="shared" si="59"/>
        <v>5333.333333333333</v>
      </c>
      <c r="K127" s="42">
        <f t="shared" si="60"/>
        <v>-2823.8740519976864</v>
      </c>
      <c r="L127" s="33">
        <f t="shared" si="3"/>
        <v>0</v>
      </c>
      <c r="M127" s="196">
        <f t="shared" si="68"/>
        <v>5408.0375216187313</v>
      </c>
      <c r="N127" s="29">
        <f t="shared" si="69"/>
        <v>5333.333333333333</v>
      </c>
      <c r="O127" s="30">
        <f t="shared" si="4"/>
        <v>74.704188285398232</v>
      </c>
      <c r="P127" s="43"/>
      <c r="Q127" s="44"/>
      <c r="R127" s="33"/>
      <c r="V127" s="45"/>
      <c r="W127" s="7"/>
      <c r="X127" s="7"/>
      <c r="Y127" s="46"/>
      <c r="Z127" s="7">
        <f t="shared" si="70"/>
        <v>14471.370840025878</v>
      </c>
      <c r="AA127" s="7"/>
      <c r="AC127" s="7"/>
    </row>
    <row r="128" spans="1:29">
      <c r="A128" s="18">
        <v>45250</v>
      </c>
      <c r="B128" s="37">
        <f t="shared" si="0"/>
        <v>-53777.777777777781</v>
      </c>
      <c r="C128" s="29">
        <v>-40000</v>
      </c>
      <c r="D128" s="29">
        <f t="shared" ref="D128" si="88">-I126*O$4*(A128-A126)/360</f>
        <v>-13777.777777777777</v>
      </c>
      <c r="E128" s="38"/>
      <c r="F128" s="39"/>
      <c r="G128" s="47"/>
      <c r="H128" s="24">
        <f t="shared" si="2"/>
        <v>757369.54577654484</v>
      </c>
      <c r="I128" s="41">
        <f t="shared" si="58"/>
        <v>760000</v>
      </c>
      <c r="J128" s="29">
        <f t="shared" si="59"/>
        <v>0</v>
      </c>
      <c r="K128" s="42">
        <f t="shared" si="60"/>
        <v>-2630.45422345516</v>
      </c>
      <c r="L128" s="33">
        <f t="shared" si="3"/>
        <v>0</v>
      </c>
      <c r="M128" s="196">
        <f t="shared" si="66"/>
        <v>8637.8642729869716</v>
      </c>
      <c r="N128" s="29">
        <f t="shared" si="67"/>
        <v>8444.4444444444453</v>
      </c>
      <c r="O128" s="30">
        <f t="shared" si="4"/>
        <v>193.41982854252637</v>
      </c>
      <c r="P128" s="43"/>
      <c r="Q128" s="44"/>
      <c r="R128" s="33"/>
      <c r="V128" s="45"/>
      <c r="W128" s="7"/>
      <c r="X128" s="7"/>
      <c r="Y128" s="46"/>
      <c r="Z128" s="7"/>
      <c r="AA128" s="7"/>
      <c r="AC128" s="7"/>
    </row>
    <row r="129" spans="1:29">
      <c r="A129" s="18">
        <v>45260</v>
      </c>
      <c r="B129" s="37">
        <f t="shared" si="0"/>
        <v>0</v>
      </c>
      <c r="C129" s="29"/>
      <c r="D129" s="29">
        <v>0</v>
      </c>
      <c r="E129" s="38"/>
      <c r="F129" s="39"/>
      <c r="G129" s="47"/>
      <c r="H129" s="24">
        <f t="shared" si="2"/>
        <v>762078.48299094406</v>
      </c>
      <c r="I129" s="41">
        <f t="shared" si="58"/>
        <v>760000</v>
      </c>
      <c r="J129" s="29">
        <f t="shared" si="59"/>
        <v>4644.4444444444443</v>
      </c>
      <c r="K129" s="42">
        <f t="shared" si="60"/>
        <v>-2565.9614535004202</v>
      </c>
      <c r="L129" s="33">
        <f t="shared" si="3"/>
        <v>0</v>
      </c>
      <c r="M129" s="196">
        <f t="shared" si="68"/>
        <v>4708.9372143991841</v>
      </c>
      <c r="N129" s="29">
        <f t="shared" si="69"/>
        <v>4644.4444444444443</v>
      </c>
      <c r="O129" s="30">
        <f t="shared" si="4"/>
        <v>64.492769954739742</v>
      </c>
      <c r="P129" s="43"/>
      <c r="Q129" s="44"/>
      <c r="R129" s="33"/>
      <c r="V129" s="45"/>
      <c r="W129" s="7"/>
      <c r="X129" s="7"/>
      <c r="Y129" s="46"/>
      <c r="Z129" s="7">
        <f t="shared" si="70"/>
        <v>13346.801487386156</v>
      </c>
      <c r="AA129" s="7"/>
      <c r="AC129" s="7"/>
    </row>
    <row r="130" spans="1:29">
      <c r="A130" s="18">
        <v>45280</v>
      </c>
      <c r="B130" s="37">
        <f t="shared" si="0"/>
        <v>-52666.666666666664</v>
      </c>
      <c r="C130" s="29">
        <v>-40000</v>
      </c>
      <c r="D130" s="29">
        <f t="shared" ref="D130" si="89">-I128*O$4*(A130-A128)/360</f>
        <v>-12666.666666666666</v>
      </c>
      <c r="E130" s="38"/>
      <c r="F130" s="39"/>
      <c r="G130" s="47"/>
      <c r="H130" s="24">
        <f t="shared" si="2"/>
        <v>717614.49907811626</v>
      </c>
      <c r="I130" s="41">
        <f t="shared" si="58"/>
        <v>720000</v>
      </c>
      <c r="J130" s="29">
        <f t="shared" si="59"/>
        <v>0</v>
      </c>
      <c r="K130" s="42">
        <f t="shared" si="60"/>
        <v>-2385.5009218837531</v>
      </c>
      <c r="L130" s="33">
        <f t="shared" si="3"/>
        <v>0</v>
      </c>
      <c r="M130" s="196">
        <f t="shared" si="66"/>
        <v>8202.6827538388898</v>
      </c>
      <c r="N130" s="29">
        <f t="shared" si="67"/>
        <v>8022.2222222222226</v>
      </c>
      <c r="O130" s="30">
        <f t="shared" si="4"/>
        <v>180.46053161666714</v>
      </c>
      <c r="P130" s="43"/>
      <c r="Q130" s="44"/>
      <c r="R130" s="33"/>
      <c r="V130" s="45"/>
      <c r="W130" s="7"/>
      <c r="X130" s="7"/>
      <c r="Y130" s="46"/>
      <c r="Z130" s="7"/>
      <c r="AA130" s="7"/>
      <c r="AC130" s="7"/>
    </row>
    <row r="131" spans="1:29">
      <c r="A131" s="18">
        <v>45291</v>
      </c>
      <c r="B131" s="37">
        <f t="shared" si="0"/>
        <v>0</v>
      </c>
      <c r="C131" s="29"/>
      <c r="D131" s="29">
        <v>0</v>
      </c>
      <c r="E131" s="38"/>
      <c r="F131" s="39"/>
      <c r="G131" s="47"/>
      <c r="H131" s="24">
        <f t="shared" si="2"/>
        <v>722483.24730905588</v>
      </c>
      <c r="I131" s="41">
        <f t="shared" si="58"/>
        <v>720000</v>
      </c>
      <c r="J131" s="29">
        <f t="shared" si="59"/>
        <v>4800</v>
      </c>
      <c r="K131" s="42">
        <f t="shared" si="60"/>
        <v>-2316.7526909441267</v>
      </c>
      <c r="L131" s="33">
        <f t="shared" si="3"/>
        <v>0</v>
      </c>
      <c r="M131" s="196">
        <f t="shared" si="68"/>
        <v>4868.7482309396264</v>
      </c>
      <c r="N131" s="29">
        <f t="shared" si="69"/>
        <v>4800</v>
      </c>
      <c r="O131" s="30">
        <f t="shared" si="4"/>
        <v>68.74823093962641</v>
      </c>
      <c r="P131" s="43"/>
      <c r="Q131" s="44"/>
      <c r="R131" s="33"/>
      <c r="V131" s="45"/>
      <c r="W131" s="7"/>
      <c r="X131" s="7"/>
      <c r="Y131" s="46"/>
      <c r="Z131" s="7">
        <f t="shared" si="70"/>
        <v>13071.430984778515</v>
      </c>
      <c r="AA131" s="7"/>
      <c r="AC131" s="7"/>
    </row>
    <row r="132" spans="1:29">
      <c r="A132" s="18">
        <v>45311</v>
      </c>
      <c r="B132" s="37">
        <f t="shared" si="0"/>
        <v>-52400</v>
      </c>
      <c r="C132" s="29">
        <v>-40000</v>
      </c>
      <c r="D132" s="29">
        <f t="shared" ref="D132" si="90">-I130*O$4*(A132-A130)/360</f>
        <v>-12400</v>
      </c>
      <c r="E132" s="38"/>
      <c r="F132" s="39"/>
      <c r="G132" s="47"/>
      <c r="H132" s="24">
        <f t="shared" si="2"/>
        <v>677859.74409371836</v>
      </c>
      <c r="I132" s="41">
        <f t="shared" si="58"/>
        <v>680000</v>
      </c>
      <c r="J132" s="29">
        <f t="shared" si="59"/>
        <v>0</v>
      </c>
      <c r="K132" s="42">
        <f t="shared" si="60"/>
        <v>-2140.2559062816827</v>
      </c>
      <c r="L132" s="33">
        <f t="shared" si="3"/>
        <v>0</v>
      </c>
      <c r="M132" s="196">
        <f t="shared" si="66"/>
        <v>7776.496784662444</v>
      </c>
      <c r="N132" s="29">
        <f t="shared" si="67"/>
        <v>7600</v>
      </c>
      <c r="O132" s="30">
        <f t="shared" si="4"/>
        <v>176.49678466244404</v>
      </c>
      <c r="P132" s="43"/>
      <c r="Q132" s="44"/>
      <c r="R132" s="33"/>
      <c r="V132" s="45"/>
      <c r="W132" s="7"/>
      <c r="X132" s="7"/>
      <c r="Y132" s="46"/>
      <c r="Z132" s="7"/>
      <c r="AA132" s="7"/>
      <c r="AC132" s="7"/>
    </row>
    <row r="133" spans="1:29">
      <c r="A133" s="18">
        <v>45322</v>
      </c>
      <c r="B133" s="37">
        <f t="shared" si="0"/>
        <v>0</v>
      </c>
      <c r="C133" s="29"/>
      <c r="D133" s="29">
        <v>0</v>
      </c>
      <c r="E133" s="38"/>
      <c r="F133" s="39"/>
      <c r="G133" s="47"/>
      <c r="H133" s="24">
        <f t="shared" si="2"/>
        <v>682458.77105613519</v>
      </c>
      <c r="I133" s="41">
        <f t="shared" si="58"/>
        <v>680000</v>
      </c>
      <c r="J133" s="29">
        <f t="shared" si="59"/>
        <v>4533.333333333333</v>
      </c>
      <c r="K133" s="42">
        <f t="shared" si="60"/>
        <v>-2074.5622771982198</v>
      </c>
      <c r="L133" s="33">
        <f t="shared" si="3"/>
        <v>0</v>
      </c>
      <c r="M133" s="196">
        <f t="shared" si="68"/>
        <v>4599.0269624167959</v>
      </c>
      <c r="N133" s="29">
        <f t="shared" si="69"/>
        <v>4533.333333333333</v>
      </c>
      <c r="O133" s="30">
        <f t="shared" si="4"/>
        <v>65.693629083462838</v>
      </c>
      <c r="P133" s="43"/>
      <c r="Q133" s="44"/>
      <c r="R133" s="33"/>
      <c r="V133" s="45"/>
      <c r="W133" s="7"/>
      <c r="X133" s="7"/>
      <c r="Y133" s="46"/>
      <c r="Z133" s="7">
        <f t="shared" si="70"/>
        <v>12375.52374707924</v>
      </c>
      <c r="AA133" s="7"/>
      <c r="AC133" s="7"/>
    </row>
    <row r="134" spans="1:29">
      <c r="A134" s="18">
        <v>45342</v>
      </c>
      <c r="B134" s="37">
        <f t="shared" si="0"/>
        <v>-51711.111111111109</v>
      </c>
      <c r="C134" s="29">
        <v>-40000</v>
      </c>
      <c r="D134" s="29">
        <f t="shared" ref="D134" si="91">-I132*O$4*(A134-A132)/360</f>
        <v>-11711.111111111111</v>
      </c>
      <c r="E134" s="38"/>
      <c r="F134" s="39"/>
      <c r="G134" s="47"/>
      <c r="H134" s="24">
        <f t="shared" si="2"/>
        <v>638093.35060089675</v>
      </c>
      <c r="I134" s="41">
        <f t="shared" si="58"/>
        <v>640000</v>
      </c>
      <c r="J134" s="29">
        <f t="shared" si="59"/>
        <v>0</v>
      </c>
      <c r="K134" s="42">
        <f t="shared" si="60"/>
        <v>-1906.6493991032667</v>
      </c>
      <c r="L134" s="33">
        <f t="shared" si="3"/>
        <v>0</v>
      </c>
      <c r="M134" s="196">
        <f t="shared" si="66"/>
        <v>7345.6906558727305</v>
      </c>
      <c r="N134" s="29">
        <f t="shared" si="67"/>
        <v>7177.7777777777774</v>
      </c>
      <c r="O134" s="30">
        <f t="shared" si="4"/>
        <v>167.91287809495316</v>
      </c>
      <c r="P134" s="43"/>
      <c r="Q134" s="44"/>
      <c r="R134" s="33"/>
      <c r="V134" s="45"/>
      <c r="W134" s="7"/>
      <c r="X134" s="7"/>
      <c r="Y134" s="46"/>
      <c r="Z134" s="7"/>
      <c r="AA134" s="7"/>
      <c r="AC134" s="7"/>
    </row>
    <row r="135" spans="1:29">
      <c r="A135" s="18">
        <v>45351</v>
      </c>
      <c r="B135" s="37">
        <f t="shared" si="0"/>
        <v>0</v>
      </c>
      <c r="C135" s="29"/>
      <c r="D135" s="29">
        <v>0</v>
      </c>
      <c r="E135" s="38"/>
      <c r="F135" s="39"/>
      <c r="G135" s="47"/>
      <c r="H135" s="24">
        <f t="shared" si="2"/>
        <v>641699.00516946521</v>
      </c>
      <c r="I135" s="41">
        <f t="shared" si="58"/>
        <v>640000</v>
      </c>
      <c r="J135" s="29">
        <f t="shared" si="59"/>
        <v>3555.5555555555557</v>
      </c>
      <c r="K135" s="42">
        <f t="shared" si="60"/>
        <v>-1856.5503860903159</v>
      </c>
      <c r="L135" s="33">
        <f t="shared" si="3"/>
        <v>0</v>
      </c>
      <c r="M135" s="196">
        <f t="shared" si="68"/>
        <v>3605.6545685685064</v>
      </c>
      <c r="N135" s="29">
        <f t="shared" si="69"/>
        <v>3555.5555555555557</v>
      </c>
      <c r="O135" s="30">
        <f t="shared" si="4"/>
        <v>50.099013012950763</v>
      </c>
      <c r="P135" s="43"/>
      <c r="Q135" s="44"/>
      <c r="R135" s="33"/>
      <c r="V135" s="45"/>
      <c r="W135" s="7"/>
      <c r="X135" s="7"/>
      <c r="Y135" s="46"/>
      <c r="Z135" s="7">
        <f t="shared" si="70"/>
        <v>10951.345224441236</v>
      </c>
      <c r="AA135" s="7"/>
      <c r="AC135" s="7"/>
    </row>
    <row r="136" spans="1:29">
      <c r="A136" s="18">
        <v>45371</v>
      </c>
      <c r="B136" s="37">
        <f t="shared" si="0"/>
        <v>-50311.111111111109</v>
      </c>
      <c r="C136" s="29">
        <v>-40000</v>
      </c>
      <c r="D136" s="29">
        <f t="shared" ref="D136" si="92">-I134*O$4*(A136-A134)/360</f>
        <v>-10311.111111111111</v>
      </c>
      <c r="E136" s="38"/>
      <c r="F136" s="39"/>
      <c r="G136" s="47"/>
      <c r="H136" s="24">
        <f t="shared" si="2"/>
        <v>598294.86424625502</v>
      </c>
      <c r="I136" s="41">
        <f t="shared" si="58"/>
        <v>600000</v>
      </c>
      <c r="J136" s="29">
        <f t="shared" si="59"/>
        <v>0</v>
      </c>
      <c r="K136" s="42">
        <f t="shared" si="60"/>
        <v>-1705.1357537450363</v>
      </c>
      <c r="L136" s="33">
        <f t="shared" si="3"/>
        <v>0</v>
      </c>
      <c r="M136" s="196">
        <f t="shared" si="66"/>
        <v>6906.9701879008353</v>
      </c>
      <c r="N136" s="29">
        <f t="shared" si="67"/>
        <v>6755.5555555555557</v>
      </c>
      <c r="O136" s="30">
        <f t="shared" si="4"/>
        <v>151.41463234527964</v>
      </c>
      <c r="P136" s="43"/>
      <c r="Q136" s="44"/>
      <c r="R136" s="33"/>
      <c r="V136" s="45"/>
      <c r="W136" s="7"/>
      <c r="X136" s="7"/>
      <c r="Y136" s="46"/>
      <c r="Z136" s="7"/>
      <c r="AA136" s="7"/>
      <c r="AC136" s="7"/>
    </row>
    <row r="137" spans="1:29">
      <c r="A137" s="18">
        <v>45382</v>
      </c>
      <c r="B137" s="37">
        <f t="shared" si="0"/>
        <v>0</v>
      </c>
      <c r="C137" s="29"/>
      <c r="D137" s="29">
        <v>0</v>
      </c>
      <c r="E137" s="38"/>
      <c r="F137" s="39"/>
      <c r="G137" s="47"/>
      <c r="H137" s="24">
        <f t="shared" si="2"/>
        <v>602354.07300753461</v>
      </c>
      <c r="I137" s="41">
        <f t="shared" si="58"/>
        <v>600000</v>
      </c>
      <c r="J137" s="29">
        <f t="shared" si="59"/>
        <v>4000</v>
      </c>
      <c r="K137" s="42">
        <f t="shared" si="60"/>
        <v>-1645.9269924653563</v>
      </c>
      <c r="L137" s="33">
        <f t="shared" si="3"/>
        <v>0</v>
      </c>
      <c r="M137" s="196">
        <f t="shared" si="68"/>
        <v>4059.2087612796799</v>
      </c>
      <c r="N137" s="29">
        <f t="shared" si="69"/>
        <v>4000</v>
      </c>
      <c r="O137" s="30">
        <f t="shared" si="4"/>
        <v>59.208761279679948</v>
      </c>
      <c r="P137" s="43"/>
      <c r="Q137" s="44"/>
      <c r="R137" s="33"/>
      <c r="V137" s="45"/>
      <c r="W137" s="7"/>
      <c r="X137" s="7"/>
      <c r="Y137" s="46"/>
      <c r="Z137" s="7">
        <f t="shared" si="70"/>
        <v>10966.178949180516</v>
      </c>
      <c r="AA137" s="7"/>
      <c r="AC137" s="7"/>
    </row>
    <row r="138" spans="1:29">
      <c r="A138" s="18">
        <v>45402</v>
      </c>
      <c r="B138" s="37">
        <f t="shared" si="0"/>
        <v>-50333.333333333336</v>
      </c>
      <c r="C138" s="29">
        <v>-40000</v>
      </c>
      <c r="D138" s="29">
        <f t="shared" ref="D138" si="93">-I136*O$4*(A138-A136)/360</f>
        <v>-10333.333333333334</v>
      </c>
      <c r="E138" s="38"/>
      <c r="F138" s="39"/>
      <c r="G138" s="47"/>
      <c r="H138" s="24">
        <f t="shared" si="2"/>
        <v>558504.21805161436</v>
      </c>
      <c r="I138" s="41">
        <f t="shared" si="58"/>
        <v>560000</v>
      </c>
      <c r="J138" s="29">
        <f t="shared" si="59"/>
        <v>0</v>
      </c>
      <c r="K138" s="42">
        <f t="shared" si="60"/>
        <v>-1495.781948385651</v>
      </c>
      <c r="L138" s="33">
        <f t="shared" si="3"/>
        <v>0</v>
      </c>
      <c r="M138" s="196">
        <f t="shared" si="66"/>
        <v>6483.4783774130383</v>
      </c>
      <c r="N138" s="29">
        <f t="shared" si="67"/>
        <v>6333.333333333333</v>
      </c>
      <c r="O138" s="30">
        <f t="shared" si="4"/>
        <v>150.14504407970526</v>
      </c>
      <c r="P138" s="43"/>
      <c r="Q138" s="44"/>
      <c r="R138" s="33"/>
      <c r="V138" s="45"/>
      <c r="W138" s="7"/>
      <c r="X138" s="7"/>
      <c r="Y138" s="46"/>
      <c r="Z138" s="7"/>
      <c r="AA138" s="7"/>
      <c r="AC138" s="7"/>
    </row>
    <row r="139" spans="1:29">
      <c r="A139" s="18">
        <v>45412</v>
      </c>
      <c r="B139" s="37">
        <f t="shared" si="0"/>
        <v>0</v>
      </c>
      <c r="C139" s="29"/>
      <c r="D139" s="29">
        <v>0</v>
      </c>
      <c r="E139" s="38"/>
      <c r="F139" s="39"/>
      <c r="G139" s="47"/>
      <c r="H139" s="24">
        <f t="shared" si="2"/>
        <v>561976.71217479126</v>
      </c>
      <c r="I139" s="41">
        <f t="shared" si="58"/>
        <v>560000</v>
      </c>
      <c r="J139" s="29">
        <f t="shared" si="59"/>
        <v>3422.2222222222222</v>
      </c>
      <c r="K139" s="42">
        <f t="shared" si="60"/>
        <v>-1445.5100474310352</v>
      </c>
      <c r="L139" s="33">
        <f t="shared" si="3"/>
        <v>0</v>
      </c>
      <c r="M139" s="196">
        <f t="shared" si="68"/>
        <v>3472.494123176838</v>
      </c>
      <c r="N139" s="29">
        <f t="shared" si="69"/>
        <v>3422.2222222222222</v>
      </c>
      <c r="O139" s="30">
        <f t="shared" si="4"/>
        <v>50.27190095461583</v>
      </c>
      <c r="P139" s="43"/>
      <c r="Q139" s="44"/>
      <c r="R139" s="33"/>
      <c r="V139" s="45"/>
      <c r="W139" s="7"/>
      <c r="X139" s="7"/>
      <c r="Y139" s="46"/>
      <c r="Z139" s="7">
        <f t="shared" si="70"/>
        <v>9955.9725005898763</v>
      </c>
      <c r="AA139" s="7"/>
      <c r="AC139" s="7"/>
    </row>
    <row r="140" spans="1:29">
      <c r="A140" s="18">
        <v>45432</v>
      </c>
      <c r="B140" s="37">
        <f t="shared" si="0"/>
        <v>-49333.333333333336</v>
      </c>
      <c r="C140" s="29">
        <v>-40000</v>
      </c>
      <c r="D140" s="29">
        <f t="shared" ref="D140" si="94">-I138*O$4*(A140-A138)/360</f>
        <v>-9333.3333333333339</v>
      </c>
      <c r="E140" s="38"/>
      <c r="F140" s="39"/>
      <c r="G140" s="47"/>
      <c r="H140" s="24">
        <f t="shared" si="2"/>
        <v>518692.25279328943</v>
      </c>
      <c r="I140" s="41">
        <f t="shared" si="58"/>
        <v>520000</v>
      </c>
      <c r="J140" s="29">
        <f t="shared" si="59"/>
        <v>0</v>
      </c>
      <c r="K140" s="42">
        <f t="shared" si="60"/>
        <v>-1307.7472067105741</v>
      </c>
      <c r="L140" s="33">
        <f t="shared" si="3"/>
        <v>0</v>
      </c>
      <c r="M140" s="196">
        <f t="shared" si="66"/>
        <v>6048.8739518315724</v>
      </c>
      <c r="N140" s="29">
        <f t="shared" si="67"/>
        <v>5911.1111111111113</v>
      </c>
      <c r="O140" s="30">
        <f t="shared" si="4"/>
        <v>137.7628407204611</v>
      </c>
      <c r="P140" s="43"/>
      <c r="Q140" s="44"/>
      <c r="R140" s="33"/>
      <c r="V140" s="45"/>
      <c r="W140" s="7"/>
      <c r="X140" s="7"/>
      <c r="Y140" s="46"/>
      <c r="Z140" s="7"/>
      <c r="AA140" s="7"/>
      <c r="AC140" s="7"/>
    </row>
    <row r="141" spans="1:29">
      <c r="A141" s="18">
        <v>45443</v>
      </c>
      <c r="B141" s="37">
        <f t="shared" si="0"/>
        <v>0</v>
      </c>
      <c r="C141" s="29"/>
      <c r="D141" s="29">
        <v>0</v>
      </c>
      <c r="E141" s="38"/>
      <c r="F141" s="39"/>
      <c r="G141" s="47"/>
      <c r="H141" s="24">
        <f t="shared" si="2"/>
        <v>522211.3873584824</v>
      </c>
      <c r="I141" s="41">
        <f t="shared" si="58"/>
        <v>520000</v>
      </c>
      <c r="J141" s="29">
        <f t="shared" si="59"/>
        <v>3466.6666666666665</v>
      </c>
      <c r="K141" s="42">
        <f t="shared" si="60"/>
        <v>-1255.2793081842988</v>
      </c>
      <c r="L141" s="33">
        <f t="shared" si="3"/>
        <v>0</v>
      </c>
      <c r="M141" s="196">
        <f t="shared" si="68"/>
        <v>3519.1345651929419</v>
      </c>
      <c r="N141" s="29">
        <f t="shared" si="69"/>
        <v>3466.6666666666665</v>
      </c>
      <c r="O141" s="30">
        <f t="shared" si="4"/>
        <v>52.467898526275349</v>
      </c>
      <c r="P141" s="43"/>
      <c r="Q141" s="44"/>
      <c r="R141" s="33"/>
      <c r="V141" s="45"/>
      <c r="W141" s="7"/>
      <c r="X141" s="7"/>
      <c r="Y141" s="46"/>
      <c r="Z141" s="7">
        <f t="shared" si="70"/>
        <v>9568.0085170245147</v>
      </c>
      <c r="AA141" s="7"/>
      <c r="AC141" s="7"/>
    </row>
    <row r="142" spans="1:29">
      <c r="A142" s="18">
        <v>45463</v>
      </c>
      <c r="B142" s="37">
        <f t="shared" si="0"/>
        <v>-48955.555555555555</v>
      </c>
      <c r="C142" s="29">
        <v>-40000</v>
      </c>
      <c r="D142" s="29">
        <f t="shared" ref="D142" si="95">-I140*O$4*(A142-A140)/360</f>
        <v>-8955.5555555555547</v>
      </c>
      <c r="E142" s="38"/>
      <c r="F142" s="39"/>
      <c r="G142" s="47"/>
      <c r="H142" s="24">
        <f t="shared" si="2"/>
        <v>478876.6890198004</v>
      </c>
      <c r="I142" s="41">
        <f t="shared" si="58"/>
        <v>480000</v>
      </c>
      <c r="J142" s="29">
        <f t="shared" si="59"/>
        <v>0</v>
      </c>
      <c r="K142" s="42">
        <f t="shared" si="60"/>
        <v>-1123.3109801996266</v>
      </c>
      <c r="L142" s="33">
        <f t="shared" si="3"/>
        <v>0</v>
      </c>
      <c r="M142" s="196">
        <f t="shared" si="66"/>
        <v>5620.8572168735609</v>
      </c>
      <c r="N142" s="29">
        <f t="shared" si="67"/>
        <v>5488.8888888888887</v>
      </c>
      <c r="O142" s="30">
        <f t="shared" si="4"/>
        <v>131.96832798467221</v>
      </c>
      <c r="P142" s="43"/>
      <c r="Q142" s="44"/>
      <c r="R142" s="33"/>
      <c r="V142" s="45"/>
      <c r="W142" s="7"/>
      <c r="X142" s="7"/>
      <c r="Y142" s="46"/>
      <c r="Z142" s="7"/>
      <c r="AA142" s="7"/>
      <c r="AC142" s="7"/>
    </row>
    <row r="143" spans="1:29">
      <c r="A143" s="18">
        <v>45473</v>
      </c>
      <c r="B143" s="37">
        <f t="shared" si="0"/>
        <v>0</v>
      </c>
      <c r="C143" s="29"/>
      <c r="D143" s="29">
        <v>0</v>
      </c>
      <c r="E143" s="38"/>
      <c r="F143" s="39"/>
      <c r="G143" s="47"/>
      <c r="H143" s="24">
        <f t="shared" si="2"/>
        <v>481854.0998156378</v>
      </c>
      <c r="I143" s="41">
        <f t="shared" si="58"/>
        <v>480000</v>
      </c>
      <c r="J143" s="29">
        <f t="shared" si="59"/>
        <v>2933.3333333333335</v>
      </c>
      <c r="K143" s="42">
        <f t="shared" si="60"/>
        <v>-1079.2335176954934</v>
      </c>
      <c r="L143" s="33">
        <f t="shared" si="3"/>
        <v>0</v>
      </c>
      <c r="M143" s="196">
        <f t="shared" si="68"/>
        <v>2977.4107958374666</v>
      </c>
      <c r="N143" s="29">
        <f t="shared" si="69"/>
        <v>2933.3333333333335</v>
      </c>
      <c r="O143" s="30">
        <f t="shared" si="4"/>
        <v>44.077462504133109</v>
      </c>
      <c r="P143" s="43"/>
      <c r="Q143" s="44"/>
      <c r="R143" s="33"/>
      <c r="V143" s="45"/>
      <c r="W143" s="7"/>
      <c r="X143" s="7"/>
      <c r="Y143" s="46"/>
      <c r="Z143" s="7">
        <f t="shared" si="70"/>
        <v>8598.268012711027</v>
      </c>
      <c r="AA143" s="7"/>
      <c r="AC143" s="7"/>
    </row>
    <row r="144" spans="1:29">
      <c r="A144" s="18">
        <v>45493</v>
      </c>
      <c r="B144" s="37">
        <f t="shared" si="0"/>
        <v>-48000</v>
      </c>
      <c r="C144" s="29">
        <v>-40000</v>
      </c>
      <c r="D144" s="29">
        <f t="shared" ref="D144" si="96">-I142*O$4*(A144-A142)/360</f>
        <v>-8000</v>
      </c>
      <c r="E144" s="38"/>
      <c r="F144" s="39"/>
      <c r="G144" s="47"/>
      <c r="H144" s="24">
        <f t="shared" si="2"/>
        <v>439040.56866712915</v>
      </c>
      <c r="I144" s="41">
        <f t="shared" si="58"/>
        <v>440000</v>
      </c>
      <c r="J144" s="29">
        <f t="shared" si="59"/>
        <v>0</v>
      </c>
      <c r="K144" s="42">
        <f t="shared" si="60"/>
        <v>-959.43133287083265</v>
      </c>
      <c r="L144" s="33">
        <f t="shared" si="3"/>
        <v>0</v>
      </c>
      <c r="M144" s="196">
        <f t="shared" si="66"/>
        <v>5186.4688514913278</v>
      </c>
      <c r="N144" s="29">
        <f t="shared" si="67"/>
        <v>5066.666666666667</v>
      </c>
      <c r="O144" s="30">
        <f t="shared" si="4"/>
        <v>119.8021848246608</v>
      </c>
      <c r="P144" s="43"/>
      <c r="Q144" s="44"/>
      <c r="R144" s="33"/>
      <c r="V144" s="45"/>
      <c r="W144" s="7"/>
      <c r="X144" s="7"/>
      <c r="Y144" s="46"/>
      <c r="Z144" s="7"/>
      <c r="AA144" s="7"/>
      <c r="AC144" s="7"/>
    </row>
    <row r="145" spans="1:29">
      <c r="A145" s="18">
        <v>45504</v>
      </c>
      <c r="B145" s="37">
        <f t="shared" si="0"/>
        <v>0</v>
      </c>
      <c r="C145" s="29"/>
      <c r="D145" s="29">
        <v>0</v>
      </c>
      <c r="E145" s="38"/>
      <c r="F145" s="39"/>
      <c r="G145" s="47"/>
      <c r="H145" s="24">
        <f t="shared" si="2"/>
        <v>442019.29609634756</v>
      </c>
      <c r="I145" s="41">
        <f t="shared" si="58"/>
        <v>440000</v>
      </c>
      <c r="J145" s="29">
        <f t="shared" si="59"/>
        <v>2933.3333333333335</v>
      </c>
      <c r="K145" s="42">
        <f t="shared" si="60"/>
        <v>-914.03723698575823</v>
      </c>
      <c r="L145" s="33">
        <f t="shared" si="3"/>
        <v>0</v>
      </c>
      <c r="M145" s="196">
        <f t="shared" si="68"/>
        <v>2978.7274292184079</v>
      </c>
      <c r="N145" s="29">
        <f t="shared" si="69"/>
        <v>2933.3333333333335</v>
      </c>
      <c r="O145" s="30">
        <f t="shared" si="4"/>
        <v>45.394095885074421</v>
      </c>
      <c r="P145" s="43"/>
      <c r="Q145" s="44"/>
      <c r="R145" s="33"/>
      <c r="V145" s="45"/>
      <c r="W145" s="7"/>
      <c r="X145" s="7"/>
      <c r="Y145" s="46"/>
      <c r="Z145" s="7">
        <f t="shared" si="70"/>
        <v>8165.1962807097352</v>
      </c>
      <c r="AA145" s="7"/>
      <c r="AC145" s="7"/>
    </row>
    <row r="146" spans="1:29">
      <c r="A146" s="18">
        <v>45524</v>
      </c>
      <c r="B146" s="37">
        <f t="shared" si="0"/>
        <v>-47577.777777777781</v>
      </c>
      <c r="C146" s="29">
        <v>-40000</v>
      </c>
      <c r="D146" s="29">
        <f t="shared" ref="D146" si="97">-I144*O$4*(A146-A144)/360</f>
        <v>-7577.7777777777774</v>
      </c>
      <c r="E146" s="38"/>
      <c r="F146" s="39"/>
      <c r="G146" s="47"/>
      <c r="H146" s="24">
        <f t="shared" si="2"/>
        <v>399199.22259428102</v>
      </c>
      <c r="I146" s="41">
        <f t="shared" ref="I146:I166" si="98">I145+C146</f>
        <v>400000</v>
      </c>
      <c r="J146" s="29">
        <f t="shared" si="59"/>
        <v>0</v>
      </c>
      <c r="K146" s="42">
        <f t="shared" si="60"/>
        <v>-800.77740571900767</v>
      </c>
      <c r="L146" s="33">
        <f t="shared" si="3"/>
        <v>0</v>
      </c>
      <c r="M146" s="196">
        <f t="shared" si="66"/>
        <v>4757.7042757111949</v>
      </c>
      <c r="N146" s="29">
        <f t="shared" si="67"/>
        <v>4644.4444444444443</v>
      </c>
      <c r="O146" s="30">
        <f t="shared" si="4"/>
        <v>113.25983126675055</v>
      </c>
      <c r="P146" s="43"/>
      <c r="Q146" s="44"/>
      <c r="R146" s="33"/>
      <c r="V146" s="45"/>
      <c r="W146" s="7"/>
      <c r="X146" s="7"/>
      <c r="Y146" s="46"/>
      <c r="Z146" s="7"/>
      <c r="AA146" s="7"/>
      <c r="AC146" s="7"/>
    </row>
    <row r="147" spans="1:29">
      <c r="A147" s="18">
        <v>45535</v>
      </c>
      <c r="B147" s="37">
        <f t="shared" si="0"/>
        <v>0</v>
      </c>
      <c r="C147" s="29"/>
      <c r="D147" s="29">
        <v>0</v>
      </c>
      <c r="E147" s="38"/>
      <c r="F147" s="39"/>
      <c r="G147" s="47"/>
      <c r="H147" s="24">
        <f t="shared" si="2"/>
        <v>401907.64126655593</v>
      </c>
      <c r="I147" s="41">
        <f t="shared" si="98"/>
        <v>400000</v>
      </c>
      <c r="J147" s="29">
        <f t="shared" ref="J147:J166" si="99">J146+N147+D147</f>
        <v>2666.6666666666665</v>
      </c>
      <c r="K147" s="42">
        <f t="shared" ref="K147:K166" si="100">K146+O147</f>
        <v>-759.02540011075916</v>
      </c>
      <c r="L147" s="33">
        <f t="shared" si="3"/>
        <v>0</v>
      </c>
      <c r="M147" s="196">
        <f t="shared" si="68"/>
        <v>2708.418672274915</v>
      </c>
      <c r="N147" s="29">
        <f t="shared" si="69"/>
        <v>2666.6666666666665</v>
      </c>
      <c r="O147" s="30">
        <f t="shared" si="4"/>
        <v>41.75200560824851</v>
      </c>
      <c r="P147" s="43"/>
      <c r="Q147" s="44"/>
      <c r="R147" s="33"/>
      <c r="V147" s="45"/>
      <c r="W147" s="7"/>
      <c r="X147" s="7"/>
      <c r="Y147" s="46"/>
      <c r="Z147" s="7">
        <f t="shared" si="70"/>
        <v>7466.1229479861104</v>
      </c>
      <c r="AA147" s="7"/>
      <c r="AC147" s="7"/>
    </row>
    <row r="148" spans="1:29">
      <c r="A148" s="18">
        <v>45555</v>
      </c>
      <c r="B148" s="37">
        <f t="shared" si="0"/>
        <v>-46888.888888888891</v>
      </c>
      <c r="C148" s="29">
        <v>-40000</v>
      </c>
      <c r="D148" s="29">
        <f t="shared" ref="D148" si="101">-I146*O$4*(A148-A146)/360</f>
        <v>-6888.8888888888887</v>
      </c>
      <c r="E148" s="38"/>
      <c r="F148" s="39"/>
      <c r="G148" s="47"/>
      <c r="H148" s="24">
        <f t="shared" si="2"/>
        <v>359344.71217214194</v>
      </c>
      <c r="I148" s="41">
        <f t="shared" si="98"/>
        <v>360000</v>
      </c>
      <c r="J148" s="29">
        <f t="shared" si="99"/>
        <v>0</v>
      </c>
      <c r="K148" s="42">
        <f t="shared" si="100"/>
        <v>-655.28782785808517</v>
      </c>
      <c r="L148" s="33">
        <f t="shared" si="3"/>
        <v>0</v>
      </c>
      <c r="M148" s="196">
        <f t="shared" si="66"/>
        <v>4325.9597944748966</v>
      </c>
      <c r="N148" s="29">
        <f t="shared" si="67"/>
        <v>4222.2222222222226</v>
      </c>
      <c r="O148" s="30">
        <f t="shared" si="4"/>
        <v>103.737572252674</v>
      </c>
      <c r="P148" s="43"/>
      <c r="Q148" s="44"/>
      <c r="R148" s="33"/>
      <c r="V148" s="45"/>
      <c r="W148" s="7"/>
      <c r="X148" s="7"/>
      <c r="Y148" s="46"/>
      <c r="Z148" s="7"/>
      <c r="AA148" s="7"/>
      <c r="AC148" s="7"/>
    </row>
    <row r="149" spans="1:29">
      <c r="A149" s="18">
        <v>45565</v>
      </c>
      <c r="B149" s="37">
        <f t="shared" si="0"/>
        <v>0</v>
      </c>
      <c r="C149" s="29"/>
      <c r="D149" s="29">
        <v>0</v>
      </c>
      <c r="E149" s="38"/>
      <c r="F149" s="39"/>
      <c r="G149" s="47"/>
      <c r="H149" s="24">
        <f t="shared" si="2"/>
        <v>361578.93415450322</v>
      </c>
      <c r="I149" s="41">
        <f t="shared" si="98"/>
        <v>360000</v>
      </c>
      <c r="J149" s="29">
        <f t="shared" si="99"/>
        <v>2200</v>
      </c>
      <c r="K149" s="42">
        <f t="shared" si="100"/>
        <v>-621.06584549676791</v>
      </c>
      <c r="L149" s="33">
        <f t="shared" si="3"/>
        <v>0</v>
      </c>
      <c r="M149" s="196">
        <f t="shared" si="68"/>
        <v>2234.2219823613173</v>
      </c>
      <c r="N149" s="29">
        <f t="shared" si="69"/>
        <v>2200</v>
      </c>
      <c r="O149" s="30">
        <f t="shared" si="4"/>
        <v>34.221982361317259</v>
      </c>
      <c r="P149" s="43"/>
      <c r="Q149" s="44"/>
      <c r="R149" s="33"/>
      <c r="V149" s="45"/>
      <c r="W149" s="7"/>
      <c r="X149" s="7"/>
      <c r="Y149" s="46"/>
      <c r="Z149" s="7">
        <f t="shared" si="70"/>
        <v>6560.1817768362143</v>
      </c>
      <c r="AA149" s="7"/>
      <c r="AC149" s="7"/>
    </row>
    <row r="150" spans="1:29">
      <c r="A150" s="18">
        <v>45585</v>
      </c>
      <c r="B150" s="37">
        <f t="shared" si="0"/>
        <v>-46000</v>
      </c>
      <c r="C150" s="29">
        <v>-40000</v>
      </c>
      <c r="D150" s="29">
        <f t="shared" ref="D150" si="102">-I148*O$4*(A150-A148)/360</f>
        <v>-6000</v>
      </c>
      <c r="E150" s="38"/>
      <c r="F150" s="39"/>
      <c r="G150" s="47"/>
      <c r="H150" s="24">
        <f t="shared" si="2"/>
        <v>319470.8132109755</v>
      </c>
      <c r="I150" s="41">
        <f t="shared" si="98"/>
        <v>320000</v>
      </c>
      <c r="J150" s="29">
        <f t="shared" si="99"/>
        <v>0</v>
      </c>
      <c r="K150" s="42">
        <f t="shared" si="100"/>
        <v>-529.18678902452848</v>
      </c>
      <c r="L150" s="33">
        <f t="shared" si="3"/>
        <v>0</v>
      </c>
      <c r="M150" s="196">
        <f t="shared" si="66"/>
        <v>3891.8790564722394</v>
      </c>
      <c r="N150" s="29">
        <f t="shared" si="67"/>
        <v>3800</v>
      </c>
      <c r="O150" s="30">
        <f t="shared" si="4"/>
        <v>91.879056472239427</v>
      </c>
      <c r="P150" s="43"/>
      <c r="Q150" s="44"/>
      <c r="R150" s="33"/>
      <c r="V150" s="45"/>
      <c r="W150" s="7"/>
      <c r="X150" s="7"/>
      <c r="Y150" s="46"/>
      <c r="Z150" s="7"/>
      <c r="AA150" s="7"/>
      <c r="AC150" s="7"/>
    </row>
    <row r="151" spans="1:29">
      <c r="A151" s="18">
        <v>45596</v>
      </c>
      <c r="B151" s="37">
        <f t="shared" si="0"/>
        <v>0</v>
      </c>
      <c r="C151" s="29"/>
      <c r="D151" s="29">
        <v>0</v>
      </c>
      <c r="E151" s="38"/>
      <c r="F151" s="39"/>
      <c r="G151" s="47"/>
      <c r="H151" s="24">
        <f t="shared" si="2"/>
        <v>321638.30419486156</v>
      </c>
      <c r="I151" s="41">
        <f t="shared" si="98"/>
        <v>320000</v>
      </c>
      <c r="J151" s="29">
        <f t="shared" si="99"/>
        <v>2133.3333333333335</v>
      </c>
      <c r="K151" s="42">
        <f t="shared" si="100"/>
        <v>-495.02913847172886</v>
      </c>
      <c r="L151" s="33">
        <f t="shared" si="3"/>
        <v>0</v>
      </c>
      <c r="M151" s="196">
        <f t="shared" si="68"/>
        <v>2167.4909838861331</v>
      </c>
      <c r="N151" s="29">
        <f t="shared" si="69"/>
        <v>2133.3333333333335</v>
      </c>
      <c r="O151" s="30">
        <f t="shared" si="4"/>
        <v>34.157650552799623</v>
      </c>
      <c r="P151" s="43"/>
      <c r="Q151" s="44"/>
      <c r="R151" s="33"/>
      <c r="V151" s="45"/>
      <c r="W151" s="7"/>
      <c r="X151" s="7"/>
      <c r="Y151" s="46"/>
      <c r="Z151" s="7">
        <f t="shared" si="70"/>
        <v>6059.3700403583725</v>
      </c>
      <c r="AA151" s="7"/>
      <c r="AC151" s="7"/>
    </row>
    <row r="152" spans="1:29">
      <c r="A152" s="18">
        <v>45616</v>
      </c>
      <c r="B152" s="37">
        <f t="shared" si="0"/>
        <v>-45511.111111111109</v>
      </c>
      <c r="C152" s="29">
        <v>-40000</v>
      </c>
      <c r="D152" s="29">
        <f t="shared" ref="D152" si="103">-I150*O$4*(A152-A150)/360</f>
        <v>-5511.1111111111113</v>
      </c>
      <c r="E152" s="38"/>
      <c r="F152" s="39"/>
      <c r="G152" s="47"/>
      <c r="H152" s="24">
        <f t="shared" si="2"/>
        <v>279589.16849662212</v>
      </c>
      <c r="I152" s="41">
        <f t="shared" si="98"/>
        <v>280000</v>
      </c>
      <c r="J152" s="29">
        <f t="shared" si="99"/>
        <v>0</v>
      </c>
      <c r="K152" s="42">
        <f t="shared" si="100"/>
        <v>-410.83150337785264</v>
      </c>
      <c r="L152" s="33">
        <f t="shared" si="3"/>
        <v>0</v>
      </c>
      <c r="M152" s="196">
        <f t="shared" si="66"/>
        <v>3461.975412871654</v>
      </c>
      <c r="N152" s="29">
        <f t="shared" si="67"/>
        <v>3377.7777777777778</v>
      </c>
      <c r="O152" s="30">
        <f t="shared" si="4"/>
        <v>84.197635093876215</v>
      </c>
      <c r="P152" s="43"/>
      <c r="Q152" s="44"/>
      <c r="R152" s="33"/>
      <c r="V152" s="45"/>
      <c r="W152" s="7"/>
      <c r="X152" s="7"/>
      <c r="Y152" s="46"/>
      <c r="Z152" s="7"/>
      <c r="AA152" s="7"/>
      <c r="AC152" s="7"/>
    </row>
    <row r="153" spans="1:29">
      <c r="A153" s="18">
        <v>45626</v>
      </c>
      <c r="B153" s="37">
        <f t="shared" si="0"/>
        <v>0</v>
      </c>
      <c r="C153" s="29"/>
      <c r="D153" s="29">
        <v>0</v>
      </c>
      <c r="E153" s="38"/>
      <c r="F153" s="39"/>
      <c r="G153" s="47"/>
      <c r="H153" s="24">
        <f t="shared" si="2"/>
        <v>281327.5112219383</v>
      </c>
      <c r="I153" s="41">
        <f t="shared" si="98"/>
        <v>280000</v>
      </c>
      <c r="J153" s="29">
        <f t="shared" si="99"/>
        <v>1711.1111111111111</v>
      </c>
      <c r="K153" s="42">
        <f t="shared" si="100"/>
        <v>-383.59988917279497</v>
      </c>
      <c r="L153" s="33">
        <f t="shared" si="3"/>
        <v>0</v>
      </c>
      <c r="M153" s="196">
        <f t="shared" si="68"/>
        <v>1738.3427253161688</v>
      </c>
      <c r="N153" s="29">
        <f t="shared" si="69"/>
        <v>1711.1111111111111</v>
      </c>
      <c r="O153" s="30">
        <f t="shared" si="4"/>
        <v>27.231614205057667</v>
      </c>
      <c r="P153" s="43"/>
      <c r="Q153" s="44"/>
      <c r="R153" s="33"/>
      <c r="V153" s="45"/>
      <c r="W153" s="7"/>
      <c r="X153" s="7"/>
      <c r="Y153" s="46"/>
      <c r="Z153" s="7">
        <f t="shared" si="70"/>
        <v>5200.318138187823</v>
      </c>
      <c r="AA153" s="7"/>
      <c r="AC153" s="7"/>
    </row>
    <row r="154" spans="1:29">
      <c r="A154" s="18">
        <v>45646</v>
      </c>
      <c r="B154" s="37">
        <f t="shared" si="0"/>
        <v>-44666.666666666664</v>
      </c>
      <c r="C154" s="29">
        <v>-40000</v>
      </c>
      <c r="D154" s="29">
        <f t="shared" ref="D154" si="104">-I152*O$4*(A154-A152)/360</f>
        <v>-4666.666666666667</v>
      </c>
      <c r="E154" s="38"/>
      <c r="F154" s="39"/>
      <c r="G154" s="47"/>
      <c r="H154" s="24">
        <f t="shared" si="2"/>
        <v>239688.93205017608</v>
      </c>
      <c r="I154" s="41">
        <f t="shared" si="98"/>
        <v>240000</v>
      </c>
      <c r="J154" s="29">
        <f t="shared" si="99"/>
        <v>0</v>
      </c>
      <c r="K154" s="42">
        <f t="shared" si="100"/>
        <v>-311.06794982392876</v>
      </c>
      <c r="L154" s="33">
        <f t="shared" si="3"/>
        <v>0</v>
      </c>
      <c r="M154" s="196">
        <f t="shared" si="66"/>
        <v>3028.0874949044219</v>
      </c>
      <c r="N154" s="29">
        <f t="shared" si="67"/>
        <v>2955.5555555555557</v>
      </c>
      <c r="O154" s="30">
        <f t="shared" si="4"/>
        <v>72.531939348866217</v>
      </c>
      <c r="P154" s="43"/>
      <c r="Q154" s="44"/>
      <c r="R154" s="33"/>
      <c r="V154" s="45"/>
      <c r="W154" s="7"/>
      <c r="X154" s="7"/>
      <c r="Y154" s="46"/>
      <c r="Z154" s="7"/>
      <c r="AA154" s="7"/>
      <c r="AC154" s="7"/>
    </row>
    <row r="155" spans="1:29">
      <c r="A155" s="18">
        <v>45657</v>
      </c>
      <c r="B155" s="37">
        <f t="shared" si="0"/>
        <v>0</v>
      </c>
      <c r="C155" s="29"/>
      <c r="D155" s="29">
        <v>0</v>
      </c>
      <c r="E155" s="38"/>
      <c r="F155" s="39"/>
      <c r="G155" s="47"/>
      <c r="H155" s="24">
        <f t="shared" si="2"/>
        <v>241315.13255949446</v>
      </c>
      <c r="I155" s="41">
        <f t="shared" si="98"/>
        <v>240000</v>
      </c>
      <c r="J155" s="29">
        <f t="shared" si="99"/>
        <v>1600</v>
      </c>
      <c r="K155" s="42">
        <f t="shared" si="100"/>
        <v>-284.86744050552602</v>
      </c>
      <c r="L155" s="33">
        <f t="shared" si="3"/>
        <v>0</v>
      </c>
      <c r="M155" s="196">
        <f t="shared" si="68"/>
        <v>1626.2005093184027</v>
      </c>
      <c r="N155" s="29">
        <f t="shared" si="69"/>
        <v>1600</v>
      </c>
      <c r="O155" s="30">
        <f t="shared" si="4"/>
        <v>26.200509318402737</v>
      </c>
      <c r="P155" s="43"/>
      <c r="Q155" s="44"/>
      <c r="R155" s="33"/>
      <c r="V155" s="45"/>
      <c r="W155" s="7"/>
      <c r="X155" s="7"/>
      <c r="Y155" s="46"/>
      <c r="Z155" s="7">
        <f t="shared" si="70"/>
        <v>4654.2880042228244</v>
      </c>
      <c r="AA155" s="7"/>
      <c r="AC155" s="7"/>
    </row>
    <row r="156" spans="1:29">
      <c r="A156" s="18">
        <v>45677</v>
      </c>
      <c r="B156" s="37">
        <f t="shared" si="0"/>
        <v>-44133.333333333336</v>
      </c>
      <c r="C156" s="29">
        <v>-40000</v>
      </c>
      <c r="D156" s="29">
        <f t="shared" ref="D156" si="105">-I154*O$4*(A156-A154)/360</f>
        <v>-4133.333333333333</v>
      </c>
      <c r="E156" s="38"/>
      <c r="F156" s="39"/>
      <c r="G156" s="47"/>
      <c r="H156" s="24">
        <f t="shared" si="2"/>
        <v>199779.21080550057</v>
      </c>
      <c r="I156" s="41">
        <f t="shared" si="98"/>
        <v>200000</v>
      </c>
      <c r="J156" s="29">
        <f t="shared" si="99"/>
        <v>0</v>
      </c>
      <c r="K156" s="42">
        <f t="shared" si="100"/>
        <v>-220.78919449942191</v>
      </c>
      <c r="L156" s="33">
        <f t="shared" si="3"/>
        <v>0</v>
      </c>
      <c r="M156" s="196">
        <f t="shared" ref="M156:M164" si="106">H155*((100%+$O$8)^(A156-A155-1)-100%)</f>
        <v>2597.4115793394376</v>
      </c>
      <c r="N156" s="29">
        <f t="shared" ref="N156:N165" si="107">I155*O$4*(A156-A155-1)/360</f>
        <v>2533.3333333333335</v>
      </c>
      <c r="O156" s="30">
        <f t="shared" si="4"/>
        <v>64.078246006104109</v>
      </c>
      <c r="P156" s="43"/>
      <c r="Q156" s="44"/>
      <c r="R156" s="33"/>
      <c r="V156" s="45"/>
      <c r="W156" s="7"/>
      <c r="X156" s="7"/>
      <c r="Y156" s="46"/>
      <c r="Z156" s="7"/>
      <c r="AA156" s="7"/>
      <c r="AC156" s="7"/>
    </row>
    <row r="157" spans="1:29">
      <c r="A157" s="18">
        <v>45688</v>
      </c>
      <c r="B157" s="37">
        <f t="shared" si="0"/>
        <v>0</v>
      </c>
      <c r="C157" s="29"/>
      <c r="D157" s="29">
        <v>0</v>
      </c>
      <c r="E157" s="38"/>
      <c r="F157" s="39"/>
      <c r="G157" s="47"/>
      <c r="H157" s="24">
        <f t="shared" si="2"/>
        <v>201134.63865769329</v>
      </c>
      <c r="I157" s="41">
        <f t="shared" si="98"/>
        <v>200000</v>
      </c>
      <c r="J157" s="29">
        <f t="shared" si="99"/>
        <v>1333.3333333333333</v>
      </c>
      <c r="K157" s="42">
        <f t="shared" si="100"/>
        <v>-198.69467564004935</v>
      </c>
      <c r="L157" s="33">
        <f t="shared" si="3"/>
        <v>0</v>
      </c>
      <c r="M157" s="196">
        <f t="shared" ref="M157:M165" si="108">H156*((100%+$O$8)^(A157-A156+1)-100%)</f>
        <v>1355.4278521927058</v>
      </c>
      <c r="N157" s="29">
        <f t="shared" ref="N157:N165" si="109">I156*O$4*(A157-A156+1)/360</f>
        <v>1333.3333333333333</v>
      </c>
      <c r="O157" s="30">
        <f t="shared" si="4"/>
        <v>22.094518859372556</v>
      </c>
      <c r="P157" s="43"/>
      <c r="Q157" s="44"/>
      <c r="R157" s="33"/>
      <c r="V157" s="45"/>
      <c r="W157" s="7"/>
      <c r="X157" s="7"/>
      <c r="Y157" s="46"/>
      <c r="Z157" s="7">
        <f t="shared" ref="Z157:Z165" si="110">M157+M156</f>
        <v>3952.8394315321434</v>
      </c>
      <c r="AA157" s="7"/>
      <c r="AC157" s="7"/>
    </row>
    <row r="158" spans="1:29">
      <c r="A158" s="18">
        <v>45708</v>
      </c>
      <c r="B158" s="37">
        <f t="shared" si="0"/>
        <v>-43444.444444444445</v>
      </c>
      <c r="C158" s="29">
        <v>-40000</v>
      </c>
      <c r="D158" s="29">
        <f t="shared" ref="D158" si="111">-I156*O$4*(A158-A156)/360</f>
        <v>-3444.4444444444443</v>
      </c>
      <c r="E158" s="38"/>
      <c r="F158" s="39"/>
      <c r="G158" s="47"/>
      <c r="H158" s="24">
        <f t="shared" si="2"/>
        <v>159855.12035739335</v>
      </c>
      <c r="I158" s="41">
        <f t="shared" si="98"/>
        <v>160000</v>
      </c>
      <c r="J158" s="29">
        <f t="shared" si="99"/>
        <v>0</v>
      </c>
      <c r="K158" s="42">
        <f t="shared" si="100"/>
        <v>-144.87964260665649</v>
      </c>
      <c r="L158" s="33">
        <f t="shared" si="3"/>
        <v>0</v>
      </c>
      <c r="M158" s="196">
        <f t="shared" si="106"/>
        <v>2164.9261441445042</v>
      </c>
      <c r="N158" s="29">
        <f t="shared" si="107"/>
        <v>2111.1111111111113</v>
      </c>
      <c r="O158" s="30">
        <f t="shared" si="4"/>
        <v>53.815033033392865</v>
      </c>
      <c r="P158" s="43"/>
      <c r="Q158" s="44"/>
      <c r="R158" s="33"/>
      <c r="V158" s="45"/>
      <c r="W158" s="7"/>
      <c r="X158" s="7"/>
      <c r="Y158" s="46"/>
      <c r="Z158" s="7"/>
      <c r="AA158" s="7"/>
      <c r="AC158" s="7"/>
    </row>
    <row r="159" spans="1:29">
      <c r="A159" s="18">
        <v>45716</v>
      </c>
      <c r="B159" s="37">
        <f t="shared" si="0"/>
        <v>0</v>
      </c>
      <c r="C159" s="29"/>
      <c r="D159" s="29">
        <v>0</v>
      </c>
      <c r="E159" s="38"/>
      <c r="F159" s="39"/>
      <c r="G159" s="47"/>
      <c r="H159" s="24">
        <f t="shared" si="2"/>
        <v>160667.85073646455</v>
      </c>
      <c r="I159" s="41">
        <f t="shared" si="98"/>
        <v>160000</v>
      </c>
      <c r="J159" s="29">
        <f t="shared" si="99"/>
        <v>800</v>
      </c>
      <c r="K159" s="42">
        <f t="shared" si="100"/>
        <v>-132.14926353543729</v>
      </c>
      <c r="L159" s="33">
        <f t="shared" si="3"/>
        <v>0</v>
      </c>
      <c r="M159" s="196">
        <f t="shared" si="108"/>
        <v>812.7303790712192</v>
      </c>
      <c r="N159" s="29">
        <f t="shared" si="109"/>
        <v>800</v>
      </c>
      <c r="O159" s="30">
        <f t="shared" si="4"/>
        <v>12.730379071219204</v>
      </c>
      <c r="P159" s="43"/>
      <c r="Q159" s="44"/>
      <c r="R159" s="33"/>
      <c r="V159" s="45"/>
      <c r="W159" s="7"/>
      <c r="X159" s="7"/>
      <c r="Y159" s="46"/>
      <c r="Z159" s="7">
        <f t="shared" si="110"/>
        <v>2977.6565232157236</v>
      </c>
      <c r="AA159" s="7"/>
      <c r="AC159" s="7"/>
    </row>
    <row r="160" spans="1:29">
      <c r="A160" s="18">
        <v>45736</v>
      </c>
      <c r="B160" s="37">
        <f t="shared" si="0"/>
        <v>-42488.888888888891</v>
      </c>
      <c r="C160" s="29">
        <v>-40000</v>
      </c>
      <c r="D160" s="29">
        <f t="shared" ref="D160" si="112">-I158*O$4*(A160-A158)/360</f>
        <v>-2488.8888888888887</v>
      </c>
      <c r="E160" s="38"/>
      <c r="F160" s="39"/>
      <c r="G160" s="47"/>
      <c r="H160" s="24">
        <f t="shared" si="2"/>
        <v>119908.32101168689</v>
      </c>
      <c r="I160" s="41">
        <f t="shared" si="98"/>
        <v>120000</v>
      </c>
      <c r="J160" s="29">
        <f t="shared" si="99"/>
        <v>0</v>
      </c>
      <c r="K160" s="42">
        <f t="shared" si="100"/>
        <v>-91.678988313115269</v>
      </c>
      <c r="L160" s="33">
        <f t="shared" si="3"/>
        <v>0</v>
      </c>
      <c r="M160" s="196">
        <f t="shared" si="106"/>
        <v>1729.3591641112109</v>
      </c>
      <c r="N160" s="29">
        <f t="shared" si="107"/>
        <v>1688.8888888888889</v>
      </c>
      <c r="O160" s="30">
        <f t="shared" si="4"/>
        <v>40.470275222322016</v>
      </c>
      <c r="P160" s="43"/>
      <c r="Q160" s="44"/>
      <c r="R160" s="33"/>
      <c r="V160" s="45"/>
      <c r="W160" s="7"/>
      <c r="X160" s="7"/>
      <c r="Y160" s="46"/>
      <c r="Z160" s="7"/>
      <c r="AA160" s="7"/>
      <c r="AC160" s="7"/>
    </row>
    <row r="161" spans="1:29">
      <c r="A161" s="18">
        <v>45747</v>
      </c>
      <c r="B161" s="37">
        <f t="shared" si="0"/>
        <v>0</v>
      </c>
      <c r="C161" s="29"/>
      <c r="D161" s="29">
        <v>0</v>
      </c>
      <c r="E161" s="38"/>
      <c r="F161" s="39"/>
      <c r="G161" s="47"/>
      <c r="H161" s="24">
        <f t="shared" si="2"/>
        <v>120721.85449874794</v>
      </c>
      <c r="I161" s="41">
        <f t="shared" si="98"/>
        <v>120000</v>
      </c>
      <c r="J161" s="29">
        <f t="shared" si="99"/>
        <v>800</v>
      </c>
      <c r="K161" s="42">
        <f t="shared" si="100"/>
        <v>-78.145501252061308</v>
      </c>
      <c r="L161" s="33">
        <f t="shared" si="3"/>
        <v>0</v>
      </c>
      <c r="M161" s="196">
        <f t="shared" si="108"/>
        <v>813.53348706105396</v>
      </c>
      <c r="N161" s="29">
        <f t="shared" si="109"/>
        <v>800</v>
      </c>
      <c r="O161" s="30">
        <f t="shared" si="4"/>
        <v>13.533487061053961</v>
      </c>
      <c r="P161" s="43">
        <v>0</v>
      </c>
      <c r="Q161" s="44">
        <f>M161/H29</f>
        <v>5.385474403400021E-4</v>
      </c>
      <c r="R161" s="33"/>
      <c r="S161" s="2">
        <f>N30+N161-D161</f>
        <v>16844.444444444445</v>
      </c>
      <c r="T161" s="7">
        <f>O161+O30</f>
        <v>228.60766227558349</v>
      </c>
      <c r="U161" s="7">
        <f>M30+M161</f>
        <v>17073.052106720028</v>
      </c>
      <c r="V161" s="45" t="e">
        <f>N161-#REF!</f>
        <v>#REF!</v>
      </c>
      <c r="W161" s="7" t="e">
        <f>J161-#REF!</f>
        <v>#REF!</v>
      </c>
      <c r="X161" s="7"/>
      <c r="Z161" s="7">
        <f t="shared" si="110"/>
        <v>2542.8926511722648</v>
      </c>
      <c r="AA161" s="7"/>
      <c r="AC161" s="7"/>
    </row>
    <row r="162" spans="1:29">
      <c r="A162" s="18">
        <v>45767</v>
      </c>
      <c r="B162" s="37">
        <f t="shared" si="0"/>
        <v>-42066.666666666664</v>
      </c>
      <c r="C162" s="29">
        <v>-40000</v>
      </c>
      <c r="D162" s="29">
        <f t="shared" ref="D162" si="113">-I160*O$4*(A162-A160)/360</f>
        <v>-2066.6666666666665</v>
      </c>
      <c r="E162" s="38"/>
      <c r="F162" s="39"/>
      <c r="G162" s="47"/>
      <c r="H162" s="24">
        <f t="shared" si="2"/>
        <v>79954.585592298696</v>
      </c>
      <c r="I162" s="41">
        <f t="shared" si="98"/>
        <v>80000</v>
      </c>
      <c r="J162" s="29">
        <f t="shared" si="99"/>
        <v>0</v>
      </c>
      <c r="K162" s="42">
        <f t="shared" si="100"/>
        <v>-45.414407701300775</v>
      </c>
      <c r="L162" s="33">
        <f t="shared" si="3"/>
        <v>0</v>
      </c>
      <c r="M162" s="196">
        <f t="shared" si="106"/>
        <v>1299.3977602174273</v>
      </c>
      <c r="N162" s="29">
        <f t="shared" si="107"/>
        <v>1266.6666666666667</v>
      </c>
      <c r="O162" s="30">
        <f t="shared" si="4"/>
        <v>32.731093550760534</v>
      </c>
      <c r="P162" s="43">
        <v>0</v>
      </c>
      <c r="Q162" s="44"/>
      <c r="R162" s="33"/>
      <c r="V162" s="45" t="e">
        <f>N162-#REF!</f>
        <v>#REF!</v>
      </c>
      <c r="W162" s="7" t="e">
        <f>J162-#REF!</f>
        <v>#REF!</v>
      </c>
      <c r="X162" s="7">
        <f>ROUND((O161+O162),2)</f>
        <v>46.26</v>
      </c>
      <c r="Y162" s="46" t="s">
        <v>28</v>
      </c>
      <c r="Z162" s="7"/>
      <c r="AA162" s="7"/>
      <c r="AC162" s="7"/>
    </row>
    <row r="163" spans="1:29">
      <c r="A163" s="18">
        <v>45777</v>
      </c>
      <c r="B163" s="37">
        <f t="shared" si="0"/>
        <v>0</v>
      </c>
      <c r="C163" s="29"/>
      <c r="D163" s="29">
        <v>0</v>
      </c>
      <c r="E163" s="38"/>
      <c r="F163" s="39"/>
      <c r="G163" s="47"/>
      <c r="H163" s="24">
        <f t="shared" si="2"/>
        <v>80451.702390375664</v>
      </c>
      <c r="I163" s="41">
        <f t="shared" si="98"/>
        <v>80000</v>
      </c>
      <c r="J163" s="29">
        <f t="shared" si="99"/>
        <v>488.88888888888891</v>
      </c>
      <c r="K163" s="42">
        <f t="shared" si="100"/>
        <v>-37.186498513226297</v>
      </c>
      <c r="L163" s="33">
        <f t="shared" si="3"/>
        <v>0</v>
      </c>
      <c r="M163" s="196">
        <f t="shared" si="108"/>
        <v>497.11679807696339</v>
      </c>
      <c r="N163" s="29">
        <f t="shared" si="109"/>
        <v>488.88888888888891</v>
      </c>
      <c r="O163" s="30">
        <f t="shared" si="4"/>
        <v>8.2279091880744772</v>
      </c>
      <c r="P163" s="43">
        <v>0</v>
      </c>
      <c r="Q163" s="44">
        <f>M163/H161</f>
        <v>4.1178691309958233E-3</v>
      </c>
      <c r="R163" s="33"/>
      <c r="S163" s="2">
        <f>N162+N163-D163</f>
        <v>1755.5555555555557</v>
      </c>
      <c r="T163" s="7">
        <f>O163+O162</f>
        <v>40.959002738835011</v>
      </c>
      <c r="U163" s="7">
        <f>M162+M163</f>
        <v>1796.5145582943906</v>
      </c>
      <c r="V163" s="45" t="e">
        <f>N163-#REF!</f>
        <v>#REF!</v>
      </c>
      <c r="W163" s="7" t="e">
        <f>J163-#REF!</f>
        <v>#REF!</v>
      </c>
      <c r="X163" s="7"/>
      <c r="Z163" s="7">
        <f t="shared" si="110"/>
        <v>1796.5145582943906</v>
      </c>
      <c r="AA163" s="7"/>
      <c r="AC163" s="7"/>
    </row>
    <row r="164" spans="1:29">
      <c r="A164" s="18">
        <v>45797</v>
      </c>
      <c r="B164" s="37">
        <f t="shared" si="0"/>
        <v>-41333.333333333336</v>
      </c>
      <c r="C164" s="29">
        <v>-40000</v>
      </c>
      <c r="D164" s="29">
        <f t="shared" ref="D164" si="114">-I162*O$4*(A164-A162)/360</f>
        <v>-1333.3333333333333</v>
      </c>
      <c r="E164" s="38"/>
      <c r="F164" s="39"/>
      <c r="G164" s="47"/>
      <c r="H164" s="24">
        <f t="shared" si="2"/>
        <v>39984.316339958015</v>
      </c>
      <c r="I164" s="41">
        <f t="shared" si="98"/>
        <v>40000</v>
      </c>
      <c r="J164" s="29">
        <f t="shared" si="99"/>
        <v>0</v>
      </c>
      <c r="K164" s="42">
        <f t="shared" si="100"/>
        <v>-15.683660041987991</v>
      </c>
      <c r="L164" s="33">
        <f t="shared" si="3"/>
        <v>0</v>
      </c>
      <c r="M164" s="196">
        <f t="shared" si="106"/>
        <v>865.94728291568276</v>
      </c>
      <c r="N164" s="29">
        <f t="shared" si="107"/>
        <v>844.44444444444446</v>
      </c>
      <c r="O164" s="30">
        <f t="shared" si="4"/>
        <v>21.502838471238306</v>
      </c>
      <c r="P164" s="43">
        <v>0</v>
      </c>
      <c r="Q164" s="44"/>
      <c r="R164" s="33"/>
      <c r="V164" s="45" t="e">
        <f>N164-#REF!</f>
        <v>#REF!</v>
      </c>
      <c r="W164" s="7" t="e">
        <f>J164-#REF!</f>
        <v>#REF!</v>
      </c>
      <c r="X164" s="7">
        <f>ROUND((O163+O164),2)</f>
        <v>29.73</v>
      </c>
      <c r="Y164" s="46" t="s">
        <v>28</v>
      </c>
      <c r="Z164" s="7"/>
      <c r="AA164" s="7"/>
      <c r="AC164" s="7"/>
    </row>
    <row r="165" spans="1:29">
      <c r="A165" s="18">
        <v>45808</v>
      </c>
      <c r="B165" s="37">
        <f t="shared" si="0"/>
        <v>0</v>
      </c>
      <c r="C165" s="29"/>
      <c r="D165" s="29">
        <v>0</v>
      </c>
      <c r="E165" s="38"/>
      <c r="F165" s="39"/>
      <c r="G165" s="47"/>
      <c r="H165" s="24">
        <f t="shared" si="2"/>
        <v>40255.59509713974</v>
      </c>
      <c r="I165" s="41">
        <f t="shared" si="98"/>
        <v>40000</v>
      </c>
      <c r="J165" s="29">
        <f t="shared" si="99"/>
        <v>266.66666666666669</v>
      </c>
      <c r="K165" s="42">
        <f t="shared" si="100"/>
        <v>-11.071569526924861</v>
      </c>
      <c r="L165" s="33">
        <f t="shared" si="3"/>
        <v>0</v>
      </c>
      <c r="M165" s="196">
        <f t="shared" si="108"/>
        <v>271.27875718172982</v>
      </c>
      <c r="N165" s="29">
        <f t="shared" si="109"/>
        <v>266.66666666666669</v>
      </c>
      <c r="O165" s="30">
        <f t="shared" si="4"/>
        <v>4.6120905150631302</v>
      </c>
      <c r="P165" s="43">
        <v>0</v>
      </c>
      <c r="Q165" s="44">
        <f>M165/H163</f>
        <v>3.3719455166455565E-3</v>
      </c>
      <c r="R165" s="33"/>
      <c r="S165" s="2">
        <f>N164+N165-D165</f>
        <v>1111.1111111111111</v>
      </c>
      <c r="T165" s="7">
        <f>O165+O164</f>
        <v>26.114928986301436</v>
      </c>
      <c r="U165" s="7">
        <f>M164+M165</f>
        <v>1137.2260400974126</v>
      </c>
      <c r="V165" s="45" t="e">
        <f>N165-#REF!</f>
        <v>#REF!</v>
      </c>
      <c r="W165" s="7" t="e">
        <f>J165-#REF!</f>
        <v>#REF!</v>
      </c>
      <c r="X165" s="7"/>
      <c r="Z165" s="7">
        <f t="shared" si="110"/>
        <v>1137.2260400974126</v>
      </c>
      <c r="AA165" s="7"/>
      <c r="AC165" s="7"/>
    </row>
    <row r="166" spans="1:29" ht="15.75" thickBot="1">
      <c r="A166" s="18">
        <v>45828</v>
      </c>
      <c r="B166" s="37">
        <f t="shared" si="0"/>
        <v>-40688.888888888891</v>
      </c>
      <c r="C166" s="29">
        <v>-40000</v>
      </c>
      <c r="D166" s="29">
        <f>-I164*O$4*(A166-A164)/360</f>
        <v>-688.88888888888891</v>
      </c>
      <c r="E166" s="38"/>
      <c r="F166" s="39"/>
      <c r="G166" s="47"/>
      <c r="H166" s="24">
        <f t="shared" si="2"/>
        <v>1.8796680478772032E-7</v>
      </c>
      <c r="I166" s="41">
        <f t="shared" si="98"/>
        <v>0</v>
      </c>
      <c r="J166" s="29">
        <f t="shared" si="99"/>
        <v>0</v>
      </c>
      <c r="K166" s="42">
        <f t="shared" si="100"/>
        <v>1.8796680478772032E-7</v>
      </c>
      <c r="L166" s="33">
        <f t="shared" si="3"/>
        <v>0</v>
      </c>
      <c r="M166" s="196">
        <f>H165*((100%+$O$8)^(A166-A165-1)-100%)</f>
        <v>433.29379193711389</v>
      </c>
      <c r="N166" s="29">
        <f>I165*O$4*(A166-A165-1)/360</f>
        <v>422.22222222222223</v>
      </c>
      <c r="O166" s="30">
        <f>M166-N166</f>
        <v>11.071569714891666</v>
      </c>
      <c r="P166" s="43">
        <v>0</v>
      </c>
      <c r="Q166" s="44"/>
      <c r="R166" s="33"/>
      <c r="V166" s="45" t="e">
        <f>N166-#REF!</f>
        <v>#REF!</v>
      </c>
      <c r="W166" s="7" t="e">
        <f>J166-#REF!</f>
        <v>#REF!</v>
      </c>
      <c r="X166" s="7">
        <f>ROUND((O165+O166),2)</f>
        <v>15.68</v>
      </c>
      <c r="Y166" s="46" t="s">
        <v>28</v>
      </c>
      <c r="Z166" s="7"/>
      <c r="AA166" s="7"/>
      <c r="AC166" s="7"/>
    </row>
    <row r="167" spans="1:29" ht="16.5" thickTop="1" thickBot="1">
      <c r="A167" s="48" t="s">
        <v>29</v>
      </c>
      <c r="B167" s="49">
        <f>SUM(B15:B166)</f>
        <v>-3106866.6666666674</v>
      </c>
      <c r="C167" s="49">
        <f>SUM(C15:C166)</f>
        <v>-1600000</v>
      </c>
      <c r="D167" s="49">
        <f>SUM(D20:D166)</f>
        <v>-1400911.1111111112</v>
      </c>
      <c r="E167" s="50" t="s">
        <v>30</v>
      </c>
      <c r="F167" s="51" t="s">
        <v>30</v>
      </c>
      <c r="G167" s="52"/>
      <c r="H167" s="53" t="s">
        <v>30</v>
      </c>
      <c r="I167" s="54" t="s">
        <v>30</v>
      </c>
      <c r="J167" s="55" t="s">
        <v>30</v>
      </c>
      <c r="K167" s="56" t="s">
        <v>30</v>
      </c>
      <c r="L167" s="54" t="s">
        <v>30</v>
      </c>
      <c r="M167" s="197">
        <f>SUM(M20:M166)</f>
        <v>1421444.7612100139</v>
      </c>
      <c r="N167" s="58">
        <f>SUM(N20:N166)</f>
        <v>1400911.1111111117</v>
      </c>
      <c r="O167" s="59">
        <f>SUM(O20:O166)</f>
        <v>20533.650098902734</v>
      </c>
      <c r="P167" s="60">
        <f>SUM(P16:P166)</f>
        <v>0</v>
      </c>
      <c r="Q167" s="61" t="s">
        <v>24</v>
      </c>
      <c r="R167" s="33"/>
      <c r="S167" s="62">
        <f>SUM(S13:S166)</f>
        <v>212133.33333333337</v>
      </c>
      <c r="X167" s="7"/>
      <c r="Z167" s="7"/>
      <c r="AA167" s="7"/>
    </row>
    <row r="168" spans="1:29">
      <c r="C168" s="7"/>
      <c r="D168" s="7"/>
      <c r="N168" s="63"/>
      <c r="O168" s="64"/>
      <c r="P168" s="65"/>
      <c r="Z168" s="7"/>
    </row>
    <row r="169" spans="1:29">
      <c r="A169" s="189" t="s">
        <v>56</v>
      </c>
      <c r="H169" s="190">
        <f>H166</f>
        <v>1.8796680478772032E-7</v>
      </c>
      <c r="K169" s="190">
        <f>K166</f>
        <v>1.8796680478772032E-7</v>
      </c>
      <c r="M169" s="190">
        <f>M167-(N167+O167)</f>
        <v>0</v>
      </c>
      <c r="N169" s="190">
        <f>N167+D167</f>
        <v>0</v>
      </c>
      <c r="O169" s="190">
        <f>O167+K17+O19</f>
        <v>1.8796254153130576E-7</v>
      </c>
      <c r="P169" s="65"/>
      <c r="Z169" s="7"/>
    </row>
    <row r="170" spans="1:29">
      <c r="N170" s="66"/>
      <c r="O170" s="66"/>
      <c r="P170" s="65"/>
      <c r="Z170" s="7"/>
    </row>
    <row r="171" spans="1:29" ht="15.75" thickBot="1">
      <c r="N171" s="65"/>
      <c r="O171" s="65"/>
      <c r="P171" s="65"/>
      <c r="Z171" s="7"/>
    </row>
    <row r="172" spans="1:29" ht="15.75" thickBot="1">
      <c r="E172" s="67"/>
      <c r="G172" s="68" t="e">
        <f>#REF!-#REF!</f>
        <v>#REF!</v>
      </c>
      <c r="N172" s="65"/>
      <c r="O172" s="65"/>
      <c r="P172" s="65"/>
    </row>
    <row r="173" spans="1:29">
      <c r="G173" s="45" t="e">
        <f>ROUND(NPV(#REF!,#REF!),0)-ROUND(NPV(#REF!,#REF!),0)</f>
        <v>#REF!</v>
      </c>
    </row>
    <row r="174" spans="1:29">
      <c r="G174" s="45" t="e">
        <f>ROUND(NPV(#REF!,#REF!)-NPV(#REF!,#REF!),0)</f>
        <v>#REF!</v>
      </c>
    </row>
    <row r="175" spans="1:29">
      <c r="G175" s="45"/>
    </row>
  </sheetData>
  <mergeCells count="23">
    <mergeCell ref="N2:P2"/>
    <mergeCell ref="A9:A12"/>
    <mergeCell ref="B9:E10"/>
    <mergeCell ref="F9:F12"/>
    <mergeCell ref="H9:L10"/>
    <mergeCell ref="M9:O10"/>
    <mergeCell ref="P9:P10"/>
    <mergeCell ref="L11:L12"/>
    <mergeCell ref="I11:I12"/>
    <mergeCell ref="J11:J12"/>
    <mergeCell ref="K11:K12"/>
    <mergeCell ref="B2:D2"/>
    <mergeCell ref="H2:L2"/>
    <mergeCell ref="C11:C12"/>
    <mergeCell ref="D11:D12"/>
    <mergeCell ref="E11:E12"/>
    <mergeCell ref="Q9:Q12"/>
    <mergeCell ref="X9:Y12"/>
    <mergeCell ref="G11:G12"/>
    <mergeCell ref="H11:H12"/>
    <mergeCell ref="N11:N12"/>
    <mergeCell ref="O11:O12"/>
    <mergeCell ref="P11:P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AC176"/>
  <sheetViews>
    <sheetView topLeftCell="A158" workbookViewId="0">
      <selection activeCell="N167" sqref="N167"/>
    </sheetView>
  </sheetViews>
  <sheetFormatPr defaultRowHeight="15"/>
  <cols>
    <col min="1" max="1" width="12" customWidth="1"/>
    <col min="2" max="3" width="14.7109375" customWidth="1"/>
    <col min="4" max="4" width="13.140625" customWidth="1"/>
    <col min="5" max="5" width="10" customWidth="1"/>
    <col min="6" max="6" width="9.42578125" hidden="1" customWidth="1"/>
    <col min="7" max="7" width="13.85546875" hidden="1" customWidth="1"/>
    <col min="8" max="8" width="13.5703125" customWidth="1"/>
    <col min="9" max="9" width="12.7109375" customWidth="1"/>
    <col min="10" max="10" width="13.42578125" customWidth="1"/>
    <col min="11" max="11" width="12.7109375" customWidth="1"/>
    <col min="12" max="12" width="9.28515625" hidden="1" customWidth="1"/>
    <col min="13" max="13" width="12.28515625" customWidth="1"/>
    <col min="14" max="14" width="16.5703125" customWidth="1"/>
    <col min="15" max="15" width="14.140625" customWidth="1"/>
    <col min="16" max="16" width="11.42578125" hidden="1" customWidth="1"/>
    <col min="17" max="17" width="11.28515625" hidden="1" customWidth="1"/>
    <col min="18" max="18" width="0.7109375" customWidth="1"/>
    <col min="19" max="19" width="12.140625" style="2" hidden="1" customWidth="1"/>
    <col min="20" max="21" width="0" hidden="1" customWidth="1"/>
    <col min="22" max="22" width="11.28515625" hidden="1" customWidth="1"/>
    <col min="23" max="24" width="0" hidden="1" customWidth="1"/>
    <col min="25" max="25" width="49.28515625" hidden="1" customWidth="1"/>
    <col min="26" max="26" width="13.5703125" customWidth="1"/>
    <col min="27" max="27" width="16" customWidth="1"/>
    <col min="29" max="29" width="11.7109375" bestFit="1" customWidth="1"/>
  </cols>
  <sheetData>
    <row r="2" spans="1:29">
      <c r="B2" s="199"/>
      <c r="C2" s="199"/>
      <c r="D2" s="199"/>
      <c r="H2" s="199"/>
      <c r="I2" s="199"/>
      <c r="J2" s="199"/>
      <c r="K2" s="199"/>
      <c r="L2" s="199"/>
      <c r="N2" s="199" t="s">
        <v>0</v>
      </c>
      <c r="O2" s="199"/>
      <c r="P2" s="199"/>
      <c r="Q2" s="1"/>
    </row>
    <row r="3" spans="1:29" ht="4.5" customHeight="1"/>
    <row r="4" spans="1:29">
      <c r="B4" s="3"/>
      <c r="N4" s="3" t="s">
        <v>1</v>
      </c>
      <c r="O4" s="4">
        <v>0.22</v>
      </c>
    </row>
    <row r="5" spans="1:29" ht="4.5" customHeight="1">
      <c r="B5" s="3"/>
    </row>
    <row r="6" spans="1:29">
      <c r="B6" s="3"/>
      <c r="N6" s="3" t="s">
        <v>51</v>
      </c>
      <c r="O6" s="4">
        <v>0.22834642529487614</v>
      </c>
      <c r="S6" s="5"/>
      <c r="T6" s="6"/>
    </row>
    <row r="7" spans="1:29" ht="4.5" customHeight="1">
      <c r="B7" s="3"/>
    </row>
    <row r="8" spans="1:29" ht="15.75" thickBot="1">
      <c r="C8" s="7"/>
      <c r="D8" s="7"/>
      <c r="H8" s="7"/>
      <c r="I8" s="7"/>
      <c r="N8" s="3" t="s">
        <v>52</v>
      </c>
      <c r="O8" s="191">
        <v>5.6363520794988631E-4</v>
      </c>
    </row>
    <row r="9" spans="1:29" ht="13.5" customHeight="1" thickTop="1">
      <c r="A9" s="200" t="s">
        <v>3</v>
      </c>
      <c r="B9" s="203" t="s">
        <v>4</v>
      </c>
      <c r="C9" s="204"/>
      <c r="D9" s="204"/>
      <c r="E9" s="205"/>
      <c r="F9" s="209" t="s">
        <v>5</v>
      </c>
      <c r="G9" s="185"/>
      <c r="H9" s="212" t="s">
        <v>53</v>
      </c>
      <c r="I9" s="213"/>
      <c r="J9" s="213"/>
      <c r="K9" s="213"/>
      <c r="L9" s="214"/>
      <c r="M9" s="218" t="s">
        <v>54</v>
      </c>
      <c r="N9" s="219"/>
      <c r="O9" s="220"/>
      <c r="P9" s="224" t="s">
        <v>8</v>
      </c>
      <c r="Q9" s="232" t="s">
        <v>9</v>
      </c>
      <c r="R9" s="9"/>
      <c r="X9" s="235" t="s">
        <v>10</v>
      </c>
      <c r="Y9" s="235"/>
    </row>
    <row r="10" spans="1:29" ht="13.5" customHeight="1">
      <c r="A10" s="201"/>
      <c r="B10" s="206"/>
      <c r="C10" s="207"/>
      <c r="D10" s="207"/>
      <c r="E10" s="208"/>
      <c r="F10" s="210"/>
      <c r="G10" s="186"/>
      <c r="H10" s="215"/>
      <c r="I10" s="216"/>
      <c r="J10" s="216"/>
      <c r="K10" s="216"/>
      <c r="L10" s="217"/>
      <c r="M10" s="221"/>
      <c r="N10" s="222"/>
      <c r="O10" s="223"/>
      <c r="P10" s="225"/>
      <c r="Q10" s="233"/>
      <c r="R10" s="9"/>
      <c r="S10" s="11"/>
      <c r="X10" s="235"/>
      <c r="Y10" s="235"/>
    </row>
    <row r="11" spans="1:29" ht="13.5" customHeight="1">
      <c r="A11" s="201"/>
      <c r="B11" s="12"/>
      <c r="C11" s="228" t="s">
        <v>11</v>
      </c>
      <c r="D11" s="228" t="s">
        <v>12</v>
      </c>
      <c r="E11" s="230" t="s">
        <v>13</v>
      </c>
      <c r="F11" s="210"/>
      <c r="G11" s="210" t="s">
        <v>5</v>
      </c>
      <c r="H11" s="236" t="s">
        <v>14</v>
      </c>
      <c r="I11" s="228" t="s">
        <v>11</v>
      </c>
      <c r="J11" s="228" t="s">
        <v>15</v>
      </c>
      <c r="K11" s="228" t="s">
        <v>16</v>
      </c>
      <c r="L11" s="226" t="s">
        <v>17</v>
      </c>
      <c r="M11" s="13"/>
      <c r="N11" s="228" t="s">
        <v>18</v>
      </c>
      <c r="O11" s="238" t="s">
        <v>19</v>
      </c>
      <c r="P11" s="240" t="s">
        <v>20</v>
      </c>
      <c r="Q11" s="233"/>
      <c r="R11" s="9"/>
      <c r="S11" s="14"/>
      <c r="X11" s="235"/>
      <c r="Y11" s="235"/>
    </row>
    <row r="12" spans="1:29" ht="66.75" customHeight="1" thickBot="1">
      <c r="A12" s="202"/>
      <c r="B12" s="15" t="s">
        <v>14</v>
      </c>
      <c r="C12" s="229"/>
      <c r="D12" s="229"/>
      <c r="E12" s="231"/>
      <c r="F12" s="211"/>
      <c r="G12" s="211"/>
      <c r="H12" s="237"/>
      <c r="I12" s="229"/>
      <c r="J12" s="229"/>
      <c r="K12" s="229"/>
      <c r="L12" s="227"/>
      <c r="M12" s="16" t="s">
        <v>21</v>
      </c>
      <c r="N12" s="229"/>
      <c r="O12" s="239"/>
      <c r="P12" s="241"/>
      <c r="Q12" s="234"/>
      <c r="R12" s="17"/>
      <c r="V12" t="s">
        <v>22</v>
      </c>
      <c r="W12" t="s">
        <v>23</v>
      </c>
      <c r="X12" s="235"/>
      <c r="Y12" s="235"/>
      <c r="Z12" s="192" t="s">
        <v>55</v>
      </c>
    </row>
    <row r="13" spans="1:29" ht="16.5" thickTop="1" thickBot="1">
      <c r="A13" s="18">
        <v>43541</v>
      </c>
      <c r="B13" s="19">
        <v>2970000</v>
      </c>
      <c r="C13" s="20">
        <v>3000000</v>
      </c>
      <c r="D13" s="20"/>
      <c r="E13" s="21">
        <v>-30000</v>
      </c>
      <c r="F13" s="22">
        <v>-176113.87177890365</v>
      </c>
      <c r="G13" s="23"/>
      <c r="H13" s="24">
        <v>2970000</v>
      </c>
      <c r="I13" s="25">
        <v>3000000</v>
      </c>
      <c r="J13" s="20"/>
      <c r="K13" s="26">
        <v>-30000</v>
      </c>
      <c r="L13" s="27" t="s">
        <v>24</v>
      </c>
      <c r="M13" s="196"/>
      <c r="N13" s="29"/>
      <c r="O13" s="30"/>
      <c r="P13" s="31" t="s">
        <v>24</v>
      </c>
      <c r="Q13" s="32" t="s">
        <v>24</v>
      </c>
      <c r="R13" s="33"/>
      <c r="S13" s="2">
        <v>0</v>
      </c>
      <c r="U13" s="34"/>
      <c r="X13" s="35" t="s">
        <v>25</v>
      </c>
      <c r="Y13" s="36" t="s">
        <v>26</v>
      </c>
      <c r="Z13" s="7"/>
      <c r="AA13" s="7"/>
    </row>
    <row r="14" spans="1:29" ht="16.5" thickTop="1" thickBot="1">
      <c r="A14" s="18">
        <v>43555</v>
      </c>
      <c r="B14" s="37">
        <v>0</v>
      </c>
      <c r="C14" s="29"/>
      <c r="D14" s="29"/>
      <c r="E14" s="38" t="s">
        <v>24</v>
      </c>
      <c r="F14" s="39" t="e">
        <v>#REF!</v>
      </c>
      <c r="G14" s="40"/>
      <c r="H14" s="24">
        <v>2995209.2608515611</v>
      </c>
      <c r="I14" s="41">
        <v>3000000</v>
      </c>
      <c r="J14" s="29">
        <v>25000</v>
      </c>
      <c r="K14" s="42">
        <v>-29790.739148438806</v>
      </c>
      <c r="L14" s="33">
        <v>0</v>
      </c>
      <c r="M14" s="196">
        <v>25209.260851561194</v>
      </c>
      <c r="N14" s="29">
        <v>25000</v>
      </c>
      <c r="O14" s="30">
        <v>209.2608515611937</v>
      </c>
      <c r="P14" s="43">
        <v>0</v>
      </c>
      <c r="Q14" s="44"/>
      <c r="R14" s="33"/>
      <c r="T14" s="7">
        <v>209.2608515611937</v>
      </c>
      <c r="U14" s="7">
        <v>25209.260851561194</v>
      </c>
      <c r="V14" s="45" t="e">
        <v>#REF!</v>
      </c>
      <c r="W14" s="7" t="e">
        <v>#REF!</v>
      </c>
      <c r="X14" s="7">
        <v>209.26</v>
      </c>
      <c r="Y14" s="46" t="s">
        <v>27</v>
      </c>
      <c r="Z14" s="7">
        <v>25209.260851561194</v>
      </c>
      <c r="AA14" s="7"/>
      <c r="AB14" s="7"/>
      <c r="AC14" s="7"/>
    </row>
    <row r="15" spans="1:29" ht="16.5" thickTop="1" thickBot="1">
      <c r="A15" s="18">
        <v>43573</v>
      </c>
      <c r="B15" s="37">
        <v>-93333.333333333343</v>
      </c>
      <c r="C15" s="29">
        <v>-40000</v>
      </c>
      <c r="D15" s="29">
        <v>-53333.333333333336</v>
      </c>
      <c r="E15" s="38" t="s">
        <v>24</v>
      </c>
      <c r="F15" s="39" t="e">
        <v>#REF!</v>
      </c>
      <c r="G15" s="40"/>
      <c r="H15" s="24">
        <v>2930705.1929941489</v>
      </c>
      <c r="I15" s="41">
        <v>2960000</v>
      </c>
      <c r="J15" s="29">
        <v>0</v>
      </c>
      <c r="K15" s="42">
        <v>-29294.807005850937</v>
      </c>
      <c r="L15" s="33">
        <v>0</v>
      </c>
      <c r="M15" s="196">
        <v>28829.265475921202</v>
      </c>
      <c r="N15" s="29">
        <v>28333.333333333332</v>
      </c>
      <c r="O15" s="30">
        <v>495.93214258786975</v>
      </c>
      <c r="P15" s="43">
        <v>0</v>
      </c>
      <c r="Q15" s="44"/>
      <c r="R15" s="33"/>
      <c r="T15" s="7">
        <v>495.93214258786975</v>
      </c>
      <c r="U15" s="7">
        <v>28829.265475921202</v>
      </c>
      <c r="V15" s="45" t="e">
        <v>#REF!</v>
      </c>
      <c r="W15" s="7" t="e">
        <v>#REF!</v>
      </c>
      <c r="X15" s="7">
        <v>495.93</v>
      </c>
      <c r="Y15" s="46" t="s">
        <v>27</v>
      </c>
      <c r="Z15" s="7"/>
      <c r="AA15" s="7"/>
      <c r="AC15" s="7"/>
    </row>
    <row r="16" spans="1:29" ht="15.75" thickTop="1">
      <c r="A16" s="18">
        <v>43585</v>
      </c>
      <c r="B16" s="37">
        <v>0</v>
      </c>
      <c r="C16" s="29"/>
      <c r="D16" s="29">
        <v>0</v>
      </c>
      <c r="E16" s="38"/>
      <c r="F16" s="39" t="e">
        <v>#REF!</v>
      </c>
      <c r="G16" s="40"/>
      <c r="H16" s="24">
        <v>2952251.9966144352</v>
      </c>
      <c r="I16" s="41">
        <v>2960000</v>
      </c>
      <c r="J16" s="29">
        <v>21377.777777777777</v>
      </c>
      <c r="K16" s="42">
        <v>-29125.781163342668</v>
      </c>
      <c r="L16" s="33">
        <v>0</v>
      </c>
      <c r="M16" s="196">
        <v>21546.803620286046</v>
      </c>
      <c r="N16" s="29">
        <v>21377.777777777777</v>
      </c>
      <c r="O16" s="30">
        <v>169.0258425082684</v>
      </c>
      <c r="P16" s="43">
        <v>0</v>
      </c>
      <c r="Q16" s="44">
        <v>7.2548160337663455E-3</v>
      </c>
      <c r="R16" s="33"/>
      <c r="S16" s="2">
        <v>49711.111111111109</v>
      </c>
      <c r="T16" s="7">
        <v>169.0258425082684</v>
      </c>
      <c r="U16" s="7">
        <v>21546.803620286046</v>
      </c>
      <c r="V16" s="45" t="e">
        <v>#REF!</v>
      </c>
      <c r="W16" s="7" t="e">
        <v>#REF!</v>
      </c>
      <c r="X16" s="7"/>
      <c r="Z16" s="7">
        <v>50376.069096207248</v>
      </c>
      <c r="AA16" s="7"/>
      <c r="AB16" s="7"/>
      <c r="AC16" s="7"/>
    </row>
    <row r="17" spans="1:29">
      <c r="A17" s="95">
        <v>43605</v>
      </c>
      <c r="B17" s="96">
        <v>-92622.222222222219</v>
      </c>
      <c r="C17" s="97">
        <v>-40000</v>
      </c>
      <c r="D17" s="97">
        <v>-52622.222222222219</v>
      </c>
      <c r="E17" s="98"/>
      <c r="F17" s="99"/>
      <c r="G17" s="100"/>
      <c r="H17" s="101">
        <v>2891406.5363374827</v>
      </c>
      <c r="I17" s="102">
        <v>2920000</v>
      </c>
      <c r="J17" s="97">
        <v>0</v>
      </c>
      <c r="K17" s="103">
        <v>-28593.463662517202</v>
      </c>
      <c r="L17" s="104">
        <v>0</v>
      </c>
      <c r="M17" s="198">
        <v>31776.761945269911</v>
      </c>
      <c r="N17" s="97">
        <v>31244.444444444445</v>
      </c>
      <c r="O17" s="106">
        <v>532.31750082546569</v>
      </c>
      <c r="P17" s="43">
        <v>0</v>
      </c>
      <c r="Q17" s="44"/>
      <c r="R17" s="33"/>
      <c r="V17" s="45" t="e">
        <v>#REF!</v>
      </c>
      <c r="W17" s="7" t="e">
        <v>#REF!</v>
      </c>
      <c r="X17" s="7">
        <v>701.34</v>
      </c>
      <c r="Y17" s="46" t="s">
        <v>28</v>
      </c>
      <c r="Z17" s="7"/>
      <c r="AA17" s="7"/>
      <c r="AC17" s="7"/>
    </row>
    <row r="18" spans="1:29">
      <c r="A18" s="95"/>
      <c r="B18" s="96"/>
      <c r="C18" s="97"/>
      <c r="D18" s="97"/>
      <c r="E18" s="98"/>
      <c r="F18" s="99"/>
      <c r="G18" s="100"/>
      <c r="H18" s="101"/>
      <c r="I18" s="102"/>
      <c r="J18" s="97"/>
      <c r="K18" s="103"/>
      <c r="L18" s="104"/>
      <c r="M18" s="198"/>
      <c r="N18" s="97"/>
      <c r="O18" s="106"/>
      <c r="P18" s="43"/>
      <c r="Q18" s="44"/>
      <c r="R18" s="33"/>
      <c r="V18" s="45"/>
      <c r="W18" s="7"/>
      <c r="X18" s="7"/>
      <c r="Y18" s="46"/>
      <c r="Z18" s="7"/>
      <c r="AA18" s="7"/>
      <c r="AC18" s="7"/>
    </row>
    <row r="19" spans="1:29">
      <c r="A19" s="18"/>
      <c r="B19" s="37"/>
      <c r="C19" s="29"/>
      <c r="D19" s="29"/>
      <c r="E19" s="38"/>
      <c r="F19" s="39"/>
      <c r="G19" s="47"/>
      <c r="H19" s="24"/>
      <c r="I19" s="41"/>
      <c r="J19" s="29"/>
      <c r="K19" s="42"/>
      <c r="L19" s="33"/>
      <c r="M19" s="196"/>
      <c r="N19" s="29"/>
      <c r="O19" s="30"/>
      <c r="P19" s="43"/>
      <c r="Q19" s="44"/>
      <c r="R19" s="33"/>
      <c r="V19" s="45"/>
      <c r="W19" s="7"/>
      <c r="X19" s="7"/>
      <c r="Y19" s="46"/>
      <c r="Z19" s="7"/>
      <c r="AA19" s="7"/>
      <c r="AC19" s="7"/>
    </row>
    <row r="20" spans="1:29">
      <c r="A20" s="95">
        <v>43605</v>
      </c>
      <c r="B20" s="37">
        <v>0</v>
      </c>
      <c r="C20" s="29"/>
      <c r="D20" s="29"/>
      <c r="E20" s="38"/>
      <c r="F20" s="39"/>
      <c r="G20" s="47"/>
      <c r="H20" s="193">
        <f>-(XNPV($O$6,B20:$B$167,A20:$A$167)-B20)*((1+$O$6)^(1/365))</f>
        <v>3015477.2406176012</v>
      </c>
      <c r="I20" s="41"/>
      <c r="J20" s="29"/>
      <c r="K20" s="42"/>
      <c r="L20" s="33"/>
      <c r="M20" s="196"/>
      <c r="N20" s="29"/>
      <c r="O20" s="195"/>
      <c r="P20" s="43"/>
      <c r="Q20" s="44"/>
      <c r="R20" s="33"/>
      <c r="V20" s="45"/>
      <c r="W20" s="7"/>
      <c r="X20" s="7"/>
      <c r="Y20" s="46"/>
      <c r="Z20" s="7"/>
      <c r="AA20" s="7"/>
      <c r="AC20" s="7"/>
    </row>
    <row r="21" spans="1:29">
      <c r="A21" s="18">
        <v>43606</v>
      </c>
      <c r="B21" s="37">
        <f t="shared" ref="B21:B167" si="0">SUM(C21:E21)</f>
        <v>0</v>
      </c>
      <c r="C21" s="29"/>
      <c r="D21" s="29"/>
      <c r="E21" s="38"/>
      <c r="F21" s="39"/>
      <c r="G21" s="47"/>
      <c r="H21" s="24">
        <f t="shared" ref="H21:H167" si="1">I21+J21+K21</f>
        <v>2921784.4444444445</v>
      </c>
      <c r="I21" s="194">
        <f>I17</f>
        <v>2920000</v>
      </c>
      <c r="J21" s="29">
        <f>J17+N21-D21</f>
        <v>1784.4444444444443</v>
      </c>
      <c r="K21" s="103"/>
      <c r="L21" s="33"/>
      <c r="M21" s="196"/>
      <c r="N21" s="108">
        <f>(I21)*O4/360</f>
        <v>1784.4444444444443</v>
      </c>
      <c r="O21" s="30"/>
      <c r="P21" s="43"/>
      <c r="Q21" s="44"/>
      <c r="R21" s="33"/>
      <c r="V21" s="45"/>
      <c r="W21" s="7"/>
      <c r="X21" s="7"/>
      <c r="Y21" s="46"/>
      <c r="Z21" s="7"/>
      <c r="AA21" s="7"/>
      <c r="AC21" s="7"/>
    </row>
    <row r="22" spans="1:29">
      <c r="A22" s="18">
        <v>43616</v>
      </c>
      <c r="B22" s="37">
        <f t="shared" si="0"/>
        <v>0</v>
      </c>
      <c r="C22" s="29"/>
      <c r="D22" s="29">
        <v>0</v>
      </c>
      <c r="E22" s="38"/>
      <c r="F22" s="39"/>
      <c r="G22" s="47"/>
      <c r="H22" s="24">
        <f t="shared" si="1"/>
        <v>2939628.888888889</v>
      </c>
      <c r="I22" s="41">
        <f>I21+C22</f>
        <v>2920000</v>
      </c>
      <c r="J22" s="29">
        <f>J21+N22+D22</f>
        <v>19628.888888888891</v>
      </c>
      <c r="K22" s="42"/>
      <c r="L22" s="33">
        <f t="shared" ref="L22:L167" si="2">P22</f>
        <v>0</v>
      </c>
      <c r="M22" s="196"/>
      <c r="N22" s="29">
        <f>I21*O$4*(A22-A21)/360</f>
        <v>17844.444444444445</v>
      </c>
      <c r="O22" s="30"/>
      <c r="P22" s="43">
        <v>0</v>
      </c>
      <c r="Q22" s="44">
        <f>M22/H16</f>
        <v>0</v>
      </c>
      <c r="R22" s="33"/>
      <c r="S22" s="2">
        <f>N17+N22-D22</f>
        <v>49088.888888888891</v>
      </c>
      <c r="T22" s="7">
        <f>O22+O17</f>
        <v>532.31750082546569</v>
      </c>
      <c r="U22" s="7">
        <f>M17+M22</f>
        <v>31776.761945269911</v>
      </c>
      <c r="V22" s="45" t="e">
        <f>N22-#REF!</f>
        <v>#REF!</v>
      </c>
      <c r="W22" s="7" t="e">
        <f>J22-#REF!</f>
        <v>#REF!</v>
      </c>
      <c r="X22" s="7"/>
      <c r="Z22" s="7"/>
      <c r="AA22" s="7"/>
      <c r="AC22" s="7"/>
    </row>
    <row r="23" spans="1:29">
      <c r="A23" s="18">
        <v>43636</v>
      </c>
      <c r="B23" s="37">
        <f t="shared" si="0"/>
        <v>-93533.333333333343</v>
      </c>
      <c r="C23" s="29">
        <v>-40000</v>
      </c>
      <c r="D23" s="29">
        <f>-I21*O$4*(A23-A21)/360</f>
        <v>-53533.333333333336</v>
      </c>
      <c r="E23" s="38"/>
      <c r="F23" s="39"/>
      <c r="G23" s="47"/>
      <c r="H23" s="24">
        <f t="shared" si="1"/>
        <v>2880000</v>
      </c>
      <c r="I23" s="41">
        <f t="shared" ref="I23:I86" si="3">I22+C23</f>
        <v>2880000</v>
      </c>
      <c r="J23" s="29">
        <f t="shared" ref="J23:J86" si="4">J22+N23+D23</f>
        <v>0</v>
      </c>
      <c r="K23" s="42"/>
      <c r="L23" s="33">
        <f t="shared" si="2"/>
        <v>0</v>
      </c>
      <c r="M23" s="196"/>
      <c r="N23" s="29">
        <f t="shared" ref="N23" si="5">I22*O$4*(A23-A22-1)/360</f>
        <v>33904.444444444445</v>
      </c>
      <c r="O23" s="30"/>
      <c r="P23" s="43">
        <v>0</v>
      </c>
      <c r="Q23" s="44"/>
      <c r="R23" s="33"/>
      <c r="V23" s="45" t="e">
        <f>N23-#REF!</f>
        <v>#REF!</v>
      </c>
      <c r="W23" s="7" t="e">
        <f>J23-#REF!</f>
        <v>#REF!</v>
      </c>
      <c r="X23" s="7">
        <f>ROUND((O22+O23),2)</f>
        <v>0</v>
      </c>
      <c r="Y23" s="46" t="s">
        <v>28</v>
      </c>
      <c r="Z23" s="7"/>
      <c r="AA23" s="7"/>
      <c r="AC23" s="7"/>
    </row>
    <row r="24" spans="1:29">
      <c r="A24" s="18">
        <v>43646</v>
      </c>
      <c r="B24" s="37">
        <f t="shared" si="0"/>
        <v>0</v>
      </c>
      <c r="C24" s="29"/>
      <c r="D24" s="29">
        <v>0</v>
      </c>
      <c r="E24" s="38"/>
      <c r="F24" s="39"/>
      <c r="G24" s="47"/>
      <c r="H24" s="24">
        <f t="shared" si="1"/>
        <v>2899360</v>
      </c>
      <c r="I24" s="41">
        <f t="shared" si="3"/>
        <v>2880000</v>
      </c>
      <c r="J24" s="29">
        <f t="shared" si="4"/>
        <v>19360</v>
      </c>
      <c r="K24" s="42"/>
      <c r="L24" s="33">
        <f t="shared" si="2"/>
        <v>0</v>
      </c>
      <c r="M24" s="196"/>
      <c r="N24" s="29">
        <f t="shared" ref="N24" si="6">I23*O$4*(A24-A23+1)/360</f>
        <v>19360</v>
      </c>
      <c r="O24" s="30"/>
      <c r="P24" s="43">
        <v>0</v>
      </c>
      <c r="Q24" s="44">
        <f>M24/H22</f>
        <v>0</v>
      </c>
      <c r="R24" s="33"/>
      <c r="S24" s="2">
        <f>N23+N24-D24</f>
        <v>53264.444444444445</v>
      </c>
      <c r="T24" s="7">
        <f>O24+O23</f>
        <v>0</v>
      </c>
      <c r="U24" s="7">
        <f>M23+M24</f>
        <v>0</v>
      </c>
      <c r="V24" s="45" t="e">
        <f>N24-#REF!</f>
        <v>#REF!</v>
      </c>
      <c r="W24" s="7" t="e">
        <f>J24-#REF!</f>
        <v>#REF!</v>
      </c>
      <c r="X24" s="7"/>
      <c r="Z24" s="7">
        <f t="shared" ref="Z24" si="7">M24+M23</f>
        <v>0</v>
      </c>
      <c r="AA24" s="7"/>
      <c r="AC24" s="7"/>
    </row>
    <row r="25" spans="1:29">
      <c r="A25" s="18">
        <v>43664</v>
      </c>
      <c r="B25" s="37">
        <f t="shared" si="0"/>
        <v>-89280</v>
      </c>
      <c r="C25" s="29">
        <v>-40000</v>
      </c>
      <c r="D25" s="29">
        <f t="shared" ref="D25" si="8">-I23*O$4*(A25-A23)/360</f>
        <v>-49280</v>
      </c>
      <c r="E25" s="38"/>
      <c r="F25" s="39"/>
      <c r="G25" s="47"/>
      <c r="H25" s="24">
        <f t="shared" si="1"/>
        <v>2840000</v>
      </c>
      <c r="I25" s="41">
        <f t="shared" si="3"/>
        <v>2840000</v>
      </c>
      <c r="J25" s="29">
        <f t="shared" si="4"/>
        <v>0</v>
      </c>
      <c r="K25" s="42"/>
      <c r="L25" s="33">
        <f t="shared" si="2"/>
        <v>0</v>
      </c>
      <c r="M25" s="196"/>
      <c r="N25" s="29">
        <f t="shared" ref="N25:N87" si="9">I24*O$4*(A25-A24-1)/360</f>
        <v>29920</v>
      </c>
      <c r="O25" s="30"/>
      <c r="P25" s="43">
        <v>0</v>
      </c>
      <c r="Q25" s="44"/>
      <c r="R25" s="33"/>
      <c r="V25" s="45" t="e">
        <f>N25-#REF!</f>
        <v>#REF!</v>
      </c>
      <c r="W25" s="7" t="e">
        <f>J25-#REF!</f>
        <v>#REF!</v>
      </c>
      <c r="X25" s="7">
        <f>ROUND((O24+O25),2)</f>
        <v>0</v>
      </c>
      <c r="Y25" s="46" t="s">
        <v>28</v>
      </c>
      <c r="Z25" s="7"/>
      <c r="AA25" s="7"/>
      <c r="AC25" s="7"/>
    </row>
    <row r="26" spans="1:29">
      <c r="A26" s="18">
        <v>43677</v>
      </c>
      <c r="B26" s="37">
        <f t="shared" si="0"/>
        <v>0</v>
      </c>
      <c r="C26" s="29"/>
      <c r="D26" s="29">
        <v>0</v>
      </c>
      <c r="E26" s="38"/>
      <c r="F26" s="39"/>
      <c r="G26" s="47"/>
      <c r="H26" s="24">
        <f t="shared" si="1"/>
        <v>2864297.777777778</v>
      </c>
      <c r="I26" s="41">
        <f t="shared" si="3"/>
        <v>2840000</v>
      </c>
      <c r="J26" s="29">
        <f t="shared" si="4"/>
        <v>24297.777777777777</v>
      </c>
      <c r="K26" s="42"/>
      <c r="L26" s="33">
        <f t="shared" si="2"/>
        <v>0</v>
      </c>
      <c r="M26" s="196"/>
      <c r="N26" s="29">
        <f t="shared" ref="N26:N88" si="10">I25*O$4*(A26-A25+1)/360</f>
        <v>24297.777777777777</v>
      </c>
      <c r="O26" s="30"/>
      <c r="P26" s="43">
        <v>0</v>
      </c>
      <c r="Q26" s="44">
        <f>M26/H24</f>
        <v>0</v>
      </c>
      <c r="R26" s="33"/>
      <c r="S26" s="2">
        <f>N25+N26-D26</f>
        <v>54217.777777777781</v>
      </c>
      <c r="T26" s="7">
        <f>O26+O25</f>
        <v>0</v>
      </c>
      <c r="U26" s="7">
        <f>M25+M26</f>
        <v>0</v>
      </c>
      <c r="V26" s="45" t="e">
        <f>N26-#REF!</f>
        <v>#REF!</v>
      </c>
      <c r="W26" s="7" t="e">
        <f>J26-#REF!</f>
        <v>#REF!</v>
      </c>
      <c r="X26" s="7"/>
      <c r="Z26" s="7">
        <f t="shared" ref="Z26" si="11">M26+M25</f>
        <v>0</v>
      </c>
      <c r="AA26" s="7"/>
      <c r="AC26" s="7"/>
    </row>
    <row r="27" spans="1:29">
      <c r="A27" s="18">
        <v>43697</v>
      </c>
      <c r="B27" s="37">
        <f t="shared" si="0"/>
        <v>-97273.333333333343</v>
      </c>
      <c r="C27" s="29">
        <v>-40000</v>
      </c>
      <c r="D27" s="29">
        <f t="shared" ref="D27" si="12">-I25*O$4*(A27-A25)/360</f>
        <v>-57273.333333333336</v>
      </c>
      <c r="E27" s="38"/>
      <c r="F27" s="39"/>
      <c r="G27" s="47"/>
      <c r="H27" s="24">
        <f t="shared" si="1"/>
        <v>2800000</v>
      </c>
      <c r="I27" s="41">
        <f t="shared" si="3"/>
        <v>2800000</v>
      </c>
      <c r="J27" s="29">
        <f t="shared" si="4"/>
        <v>0</v>
      </c>
      <c r="K27" s="42"/>
      <c r="L27" s="33">
        <f t="shared" si="2"/>
        <v>0</v>
      </c>
      <c r="M27" s="196"/>
      <c r="N27" s="29">
        <f t="shared" si="9"/>
        <v>32975.555555555555</v>
      </c>
      <c r="O27" s="30"/>
      <c r="P27" s="43">
        <v>0</v>
      </c>
      <c r="Q27" s="44"/>
      <c r="R27" s="33"/>
      <c r="V27" s="45" t="e">
        <f>N27-#REF!</f>
        <v>#REF!</v>
      </c>
      <c r="W27" s="7" t="e">
        <f>J27-#REF!</f>
        <v>#REF!</v>
      </c>
      <c r="X27" s="7">
        <f>ROUND((O26+O27),2)</f>
        <v>0</v>
      </c>
      <c r="Y27" s="46" t="s">
        <v>28</v>
      </c>
      <c r="Z27" s="7"/>
      <c r="AA27" s="7"/>
      <c r="AC27" s="7"/>
    </row>
    <row r="28" spans="1:29">
      <c r="A28" s="18">
        <v>43708</v>
      </c>
      <c r="B28" s="37">
        <f t="shared" si="0"/>
        <v>0</v>
      </c>
      <c r="C28" s="29"/>
      <c r="D28" s="29">
        <v>0</v>
      </c>
      <c r="E28" s="38"/>
      <c r="F28" s="39"/>
      <c r="G28" s="47"/>
      <c r="H28" s="24">
        <f t="shared" si="1"/>
        <v>2820533.3333333335</v>
      </c>
      <c r="I28" s="41">
        <f t="shared" si="3"/>
        <v>2800000</v>
      </c>
      <c r="J28" s="29">
        <f t="shared" si="4"/>
        <v>20533.333333333332</v>
      </c>
      <c r="K28" s="42"/>
      <c r="L28" s="33">
        <f t="shared" si="2"/>
        <v>0</v>
      </c>
      <c r="M28" s="196"/>
      <c r="N28" s="29">
        <f t="shared" si="10"/>
        <v>20533.333333333332</v>
      </c>
      <c r="O28" s="30"/>
      <c r="P28" s="43">
        <v>0</v>
      </c>
      <c r="Q28" s="44">
        <f>M28/H26</f>
        <v>0</v>
      </c>
      <c r="R28" s="33"/>
      <c r="S28" s="2">
        <f>N27+N28-D28</f>
        <v>53508.888888888891</v>
      </c>
      <c r="T28" s="7">
        <f>O28+O27</f>
        <v>0</v>
      </c>
      <c r="U28" s="7">
        <f>M27+M28</f>
        <v>0</v>
      </c>
      <c r="V28" s="45" t="e">
        <f>N28-#REF!</f>
        <v>#REF!</v>
      </c>
      <c r="W28" s="7" t="e">
        <f>J28-#REF!</f>
        <v>#REF!</v>
      </c>
      <c r="X28" s="7"/>
      <c r="Z28" s="7">
        <f t="shared" ref="Z28" si="13">M28+M27</f>
        <v>0</v>
      </c>
      <c r="AA28" s="7"/>
      <c r="AC28" s="7"/>
    </row>
    <row r="29" spans="1:29">
      <c r="A29" s="18">
        <v>43727</v>
      </c>
      <c r="B29" s="37">
        <f t="shared" si="0"/>
        <v>-91333.333333333343</v>
      </c>
      <c r="C29" s="29">
        <v>-40000</v>
      </c>
      <c r="D29" s="29">
        <f t="shared" ref="D29" si="14">-I27*O$4*(A29-A27)/360</f>
        <v>-51333.333333333336</v>
      </c>
      <c r="E29" s="38"/>
      <c r="F29" s="39"/>
      <c r="G29" s="47"/>
      <c r="H29" s="24">
        <f t="shared" si="1"/>
        <v>2760000</v>
      </c>
      <c r="I29" s="41">
        <f t="shared" si="3"/>
        <v>2760000</v>
      </c>
      <c r="J29" s="29">
        <f t="shared" si="4"/>
        <v>0</v>
      </c>
      <c r="K29" s="42"/>
      <c r="L29" s="33">
        <f t="shared" si="2"/>
        <v>0</v>
      </c>
      <c r="M29" s="196"/>
      <c r="N29" s="29">
        <f t="shared" si="9"/>
        <v>30800</v>
      </c>
      <c r="O29" s="30"/>
      <c r="P29" s="43">
        <v>0</v>
      </c>
      <c r="Q29" s="44"/>
      <c r="R29" s="33"/>
      <c r="V29" s="45" t="e">
        <f>N29-#REF!</f>
        <v>#REF!</v>
      </c>
      <c r="W29" s="7" t="e">
        <f>J29-#REF!</f>
        <v>#REF!</v>
      </c>
      <c r="X29" s="7">
        <f>ROUND((O28+O29),2)</f>
        <v>0</v>
      </c>
      <c r="Y29" s="46" t="s">
        <v>28</v>
      </c>
      <c r="Z29" s="7"/>
      <c r="AA29" s="7"/>
      <c r="AC29" s="7"/>
    </row>
    <row r="30" spans="1:29">
      <c r="A30" s="18">
        <v>43738</v>
      </c>
      <c r="B30" s="37">
        <f t="shared" si="0"/>
        <v>0</v>
      </c>
      <c r="C30" s="29"/>
      <c r="D30" s="29">
        <v>0</v>
      </c>
      <c r="E30" s="38"/>
      <c r="F30" s="39"/>
      <c r="G30" s="47"/>
      <c r="H30" s="24">
        <f t="shared" si="1"/>
        <v>2780240</v>
      </c>
      <c r="I30" s="41">
        <f t="shared" si="3"/>
        <v>2760000</v>
      </c>
      <c r="J30" s="29">
        <f t="shared" si="4"/>
        <v>20240</v>
      </c>
      <c r="K30" s="42"/>
      <c r="L30" s="33">
        <f t="shared" si="2"/>
        <v>0</v>
      </c>
      <c r="M30" s="196"/>
      <c r="N30" s="29">
        <f t="shared" si="10"/>
        <v>20240</v>
      </c>
      <c r="O30" s="30"/>
      <c r="P30" s="43">
        <v>0</v>
      </c>
      <c r="Q30" s="44">
        <f>M30/H28</f>
        <v>0</v>
      </c>
      <c r="R30" s="33"/>
      <c r="S30" s="2">
        <f>N29+N30-D30</f>
        <v>51040</v>
      </c>
      <c r="T30" s="7">
        <f>O30+O29</f>
        <v>0</v>
      </c>
      <c r="U30" s="7">
        <f>M29+M30</f>
        <v>0</v>
      </c>
      <c r="V30" s="45" t="e">
        <f>N30-#REF!</f>
        <v>#REF!</v>
      </c>
      <c r="W30" s="7" t="e">
        <f>J30-#REF!</f>
        <v>#REF!</v>
      </c>
      <c r="X30" s="7"/>
      <c r="Z30" s="7">
        <f t="shared" ref="Z30:Z92" si="15">M30+M29</f>
        <v>0</v>
      </c>
      <c r="AA30" s="7"/>
      <c r="AC30" s="7"/>
    </row>
    <row r="31" spans="1:29">
      <c r="A31" s="18">
        <v>43758</v>
      </c>
      <c r="B31" s="37">
        <f t="shared" si="0"/>
        <v>-92286.666666666657</v>
      </c>
      <c r="C31" s="29">
        <v>-40000</v>
      </c>
      <c r="D31" s="29">
        <f t="shared" ref="D31" si="16">-I29*O$4*(A31-A29)/360</f>
        <v>-52286.666666666664</v>
      </c>
      <c r="E31" s="38"/>
      <c r="F31" s="39"/>
      <c r="G31" s="47"/>
      <c r="H31" s="24">
        <f t="shared" si="1"/>
        <v>2720000</v>
      </c>
      <c r="I31" s="41">
        <f t="shared" si="3"/>
        <v>2720000</v>
      </c>
      <c r="J31" s="29">
        <f t="shared" si="4"/>
        <v>0</v>
      </c>
      <c r="K31" s="42"/>
      <c r="L31" s="33">
        <f t="shared" si="2"/>
        <v>0</v>
      </c>
      <c r="M31" s="196"/>
      <c r="N31" s="29">
        <f t="shared" si="9"/>
        <v>32046.666666666668</v>
      </c>
      <c r="O31" s="30"/>
      <c r="P31" s="43">
        <v>0</v>
      </c>
      <c r="Q31" s="44"/>
      <c r="R31" s="33"/>
      <c r="V31" s="45" t="e">
        <f>N31-#REF!</f>
        <v>#REF!</v>
      </c>
      <c r="W31" s="7" t="e">
        <f>J31-#REF!</f>
        <v>#REF!</v>
      </c>
      <c r="X31" s="7">
        <f>ROUND((O30+O31),2)</f>
        <v>0</v>
      </c>
      <c r="Y31" s="46" t="s">
        <v>28</v>
      </c>
      <c r="Z31" s="7"/>
      <c r="AA31" s="7"/>
      <c r="AC31" s="7"/>
    </row>
    <row r="32" spans="1:29">
      <c r="A32" s="18">
        <v>43769</v>
      </c>
      <c r="B32" s="37">
        <f t="shared" si="0"/>
        <v>0</v>
      </c>
      <c r="C32" s="29"/>
      <c r="D32" s="29">
        <v>0</v>
      </c>
      <c r="E32" s="38"/>
      <c r="F32" s="39"/>
      <c r="G32" s="47"/>
      <c r="H32" s="24">
        <f t="shared" si="1"/>
        <v>2739946.6666666665</v>
      </c>
      <c r="I32" s="41">
        <f t="shared" si="3"/>
        <v>2720000</v>
      </c>
      <c r="J32" s="29">
        <f t="shared" si="4"/>
        <v>19946.666666666668</v>
      </c>
      <c r="K32" s="42"/>
      <c r="L32" s="33">
        <f t="shared" si="2"/>
        <v>0</v>
      </c>
      <c r="M32" s="196"/>
      <c r="N32" s="29">
        <f t="shared" si="10"/>
        <v>19946.666666666668</v>
      </c>
      <c r="O32" s="30"/>
      <c r="P32" s="43"/>
      <c r="Q32" s="44"/>
      <c r="R32" s="33"/>
      <c r="V32" s="45"/>
      <c r="W32" s="7"/>
      <c r="X32" s="7"/>
      <c r="Y32" s="46"/>
      <c r="Z32" s="7">
        <f t="shared" si="15"/>
        <v>0</v>
      </c>
      <c r="AA32" s="7"/>
      <c r="AC32" s="7"/>
    </row>
    <row r="33" spans="1:29">
      <c r="A33" s="18">
        <v>43789</v>
      </c>
      <c r="B33" s="37">
        <f t="shared" si="0"/>
        <v>-91528.888888888891</v>
      </c>
      <c r="C33" s="29">
        <v>-40000</v>
      </c>
      <c r="D33" s="29">
        <f t="shared" ref="D33" si="17">-I31*O$4*(A33-A31)/360</f>
        <v>-51528.888888888891</v>
      </c>
      <c r="E33" s="38"/>
      <c r="F33" s="39"/>
      <c r="G33" s="47"/>
      <c r="H33" s="24">
        <f t="shared" si="1"/>
        <v>2680000</v>
      </c>
      <c r="I33" s="41">
        <f t="shared" si="3"/>
        <v>2680000</v>
      </c>
      <c r="J33" s="29">
        <f>J32+N33+D33</f>
        <v>0</v>
      </c>
      <c r="K33" s="42"/>
      <c r="L33" s="33">
        <f t="shared" si="2"/>
        <v>0</v>
      </c>
      <c r="M33" s="196"/>
      <c r="N33" s="29">
        <f t="shared" si="9"/>
        <v>31582.222222222223</v>
      </c>
      <c r="O33" s="30"/>
      <c r="P33" s="43"/>
      <c r="Q33" s="44"/>
      <c r="R33" s="33"/>
      <c r="V33" s="45"/>
      <c r="W33" s="7"/>
      <c r="X33" s="7"/>
      <c r="Y33" s="46"/>
      <c r="Z33" s="7"/>
      <c r="AA33" s="7"/>
      <c r="AC33" s="7"/>
    </row>
    <row r="34" spans="1:29">
      <c r="A34" s="18">
        <v>43799</v>
      </c>
      <c r="B34" s="37">
        <f t="shared" si="0"/>
        <v>0</v>
      </c>
      <c r="C34" s="29"/>
      <c r="D34" s="29">
        <v>0</v>
      </c>
      <c r="E34" s="38"/>
      <c r="F34" s="39"/>
      <c r="G34" s="47"/>
      <c r="H34" s="24">
        <f t="shared" si="1"/>
        <v>2698015.5555555555</v>
      </c>
      <c r="I34" s="41">
        <f t="shared" si="3"/>
        <v>2680000</v>
      </c>
      <c r="J34" s="29">
        <f t="shared" si="4"/>
        <v>18015.555555555555</v>
      </c>
      <c r="K34" s="42"/>
      <c r="L34" s="33">
        <f t="shared" si="2"/>
        <v>0</v>
      </c>
      <c r="M34" s="196"/>
      <c r="N34" s="29">
        <f t="shared" si="10"/>
        <v>18015.555555555555</v>
      </c>
      <c r="O34" s="30"/>
      <c r="P34" s="43"/>
      <c r="Q34" s="44"/>
      <c r="R34" s="33"/>
      <c r="V34" s="45"/>
      <c r="W34" s="7"/>
      <c r="X34" s="7"/>
      <c r="Y34" s="46"/>
      <c r="Z34" s="7">
        <f t="shared" si="15"/>
        <v>0</v>
      </c>
      <c r="AA34" s="7"/>
      <c r="AC34" s="7"/>
    </row>
    <row r="35" spans="1:29">
      <c r="A35" s="18">
        <v>43818</v>
      </c>
      <c r="B35" s="37">
        <f t="shared" si="0"/>
        <v>-87495.555555555562</v>
      </c>
      <c r="C35" s="29">
        <v>-40000</v>
      </c>
      <c r="D35" s="29">
        <f t="shared" ref="D35" si="18">-I33*O$4*(A35-A33)/360</f>
        <v>-47495.555555555555</v>
      </c>
      <c r="E35" s="38"/>
      <c r="F35" s="39"/>
      <c r="G35" s="47"/>
      <c r="H35" s="24">
        <f t="shared" si="1"/>
        <v>2640000</v>
      </c>
      <c r="I35" s="41">
        <f t="shared" si="3"/>
        <v>2640000</v>
      </c>
      <c r="J35" s="29">
        <f t="shared" si="4"/>
        <v>0</v>
      </c>
      <c r="K35" s="42"/>
      <c r="L35" s="33">
        <f t="shared" si="2"/>
        <v>0</v>
      </c>
      <c r="M35" s="196"/>
      <c r="N35" s="29">
        <f t="shared" si="9"/>
        <v>29480</v>
      </c>
      <c r="O35" s="30"/>
      <c r="P35" s="43"/>
      <c r="Q35" s="44"/>
      <c r="R35" s="33"/>
      <c r="V35" s="45"/>
      <c r="W35" s="7"/>
      <c r="X35" s="7"/>
      <c r="Y35" s="46"/>
      <c r="Z35" s="7"/>
      <c r="AA35" s="7"/>
      <c r="AC35" s="7"/>
    </row>
    <row r="36" spans="1:29">
      <c r="A36" s="18">
        <v>43830</v>
      </c>
      <c r="B36" s="37">
        <f t="shared" si="0"/>
        <v>0</v>
      </c>
      <c r="C36" s="29"/>
      <c r="D36" s="29">
        <v>0</v>
      </c>
      <c r="E36" s="38"/>
      <c r="F36" s="39"/>
      <c r="G36" s="47"/>
      <c r="H36" s="24">
        <f t="shared" si="1"/>
        <v>2660973.3333333335</v>
      </c>
      <c r="I36" s="41">
        <f t="shared" si="3"/>
        <v>2640000</v>
      </c>
      <c r="J36" s="29">
        <f t="shared" si="4"/>
        <v>20973.333333333332</v>
      </c>
      <c r="K36" s="42"/>
      <c r="L36" s="33">
        <f t="shared" si="2"/>
        <v>0</v>
      </c>
      <c r="M36" s="196"/>
      <c r="N36" s="29">
        <f t="shared" si="10"/>
        <v>20973.333333333332</v>
      </c>
      <c r="O36" s="30"/>
      <c r="P36" s="43"/>
      <c r="Q36" s="44"/>
      <c r="R36" s="33"/>
      <c r="V36" s="45"/>
      <c r="W36" s="7"/>
      <c r="X36" s="7"/>
      <c r="Y36" s="46"/>
      <c r="Z36" s="7">
        <f t="shared" si="15"/>
        <v>0</v>
      </c>
      <c r="AA36" s="7"/>
      <c r="AC36" s="7"/>
    </row>
    <row r="37" spans="1:29">
      <c r="A37" s="18">
        <v>43850</v>
      </c>
      <c r="B37" s="37">
        <f t="shared" si="0"/>
        <v>-91626.666666666657</v>
      </c>
      <c r="C37" s="29">
        <v>-40000</v>
      </c>
      <c r="D37" s="29">
        <f t="shared" ref="D37" si="19">-I35*O$4*(A37-A35)/360</f>
        <v>-51626.666666666664</v>
      </c>
      <c r="E37" s="38"/>
      <c r="F37" s="39"/>
      <c r="G37" s="47"/>
      <c r="H37" s="24">
        <f t="shared" si="1"/>
        <v>2600000</v>
      </c>
      <c r="I37" s="41">
        <f t="shared" si="3"/>
        <v>2600000</v>
      </c>
      <c r="J37" s="29">
        <f t="shared" si="4"/>
        <v>0</v>
      </c>
      <c r="K37" s="42"/>
      <c r="L37" s="33">
        <f t="shared" si="2"/>
        <v>0</v>
      </c>
      <c r="M37" s="196"/>
      <c r="N37" s="29">
        <f t="shared" si="9"/>
        <v>30653.333333333332</v>
      </c>
      <c r="O37" s="30"/>
      <c r="P37" s="43"/>
      <c r="Q37" s="44"/>
      <c r="R37" s="33"/>
      <c r="V37" s="45"/>
      <c r="W37" s="7"/>
      <c r="X37" s="7"/>
      <c r="Y37" s="46"/>
      <c r="Z37" s="7"/>
      <c r="AA37" s="7"/>
      <c r="AC37" s="7"/>
    </row>
    <row r="38" spans="1:29">
      <c r="A38" s="18">
        <v>43861</v>
      </c>
      <c r="B38" s="37">
        <f t="shared" si="0"/>
        <v>0</v>
      </c>
      <c r="C38" s="29"/>
      <c r="D38" s="29">
        <v>0</v>
      </c>
      <c r="E38" s="38"/>
      <c r="F38" s="39"/>
      <c r="G38" s="47"/>
      <c r="H38" s="24">
        <f t="shared" si="1"/>
        <v>2619066.6666666665</v>
      </c>
      <c r="I38" s="41">
        <f t="shared" si="3"/>
        <v>2600000</v>
      </c>
      <c r="J38" s="29">
        <f t="shared" si="4"/>
        <v>19066.666666666668</v>
      </c>
      <c r="K38" s="42"/>
      <c r="L38" s="33">
        <f t="shared" si="2"/>
        <v>0</v>
      </c>
      <c r="M38" s="196"/>
      <c r="N38" s="29">
        <f t="shared" si="10"/>
        <v>19066.666666666668</v>
      </c>
      <c r="O38" s="30"/>
      <c r="P38" s="43"/>
      <c r="Q38" s="44"/>
      <c r="R38" s="33"/>
      <c r="V38" s="45"/>
      <c r="W38" s="7"/>
      <c r="X38" s="7"/>
      <c r="Y38" s="46"/>
      <c r="Z38" s="7">
        <f t="shared" si="15"/>
        <v>0</v>
      </c>
      <c r="AA38" s="7"/>
      <c r="AC38" s="7"/>
    </row>
    <row r="39" spans="1:29">
      <c r="A39" s="18">
        <v>43881</v>
      </c>
      <c r="B39" s="37">
        <f t="shared" si="0"/>
        <v>-89255.555555555562</v>
      </c>
      <c r="C39" s="29">
        <v>-40000</v>
      </c>
      <c r="D39" s="29">
        <f t="shared" ref="D39" si="20">-I37*O$4*(A39-A37)/360</f>
        <v>-49255.555555555555</v>
      </c>
      <c r="E39" s="38"/>
      <c r="F39" s="39"/>
      <c r="G39" s="47"/>
      <c r="H39" s="24">
        <f t="shared" si="1"/>
        <v>2560000</v>
      </c>
      <c r="I39" s="41">
        <f t="shared" si="3"/>
        <v>2560000</v>
      </c>
      <c r="J39" s="29">
        <f t="shared" si="4"/>
        <v>0</v>
      </c>
      <c r="K39" s="42"/>
      <c r="L39" s="33">
        <f t="shared" si="2"/>
        <v>0</v>
      </c>
      <c r="M39" s="196"/>
      <c r="N39" s="29">
        <f t="shared" si="9"/>
        <v>30188.888888888891</v>
      </c>
      <c r="O39" s="30"/>
      <c r="P39" s="43"/>
      <c r="Q39" s="44"/>
      <c r="R39" s="33"/>
      <c r="V39" s="45"/>
      <c r="W39" s="7"/>
      <c r="X39" s="7"/>
      <c r="Y39" s="46"/>
      <c r="Z39" s="7"/>
      <c r="AA39" s="7"/>
      <c r="AC39" s="7"/>
    </row>
    <row r="40" spans="1:29">
      <c r="A40" s="18">
        <v>43890</v>
      </c>
      <c r="B40" s="37">
        <f t="shared" si="0"/>
        <v>0</v>
      </c>
      <c r="C40" s="29"/>
      <c r="D40" s="29">
        <v>0</v>
      </c>
      <c r="E40" s="38"/>
      <c r="F40" s="39"/>
      <c r="G40" s="47"/>
      <c r="H40" s="24">
        <f t="shared" si="1"/>
        <v>2575644.4444444445</v>
      </c>
      <c r="I40" s="41">
        <f t="shared" si="3"/>
        <v>2560000</v>
      </c>
      <c r="J40" s="29">
        <f t="shared" si="4"/>
        <v>15644.444444444445</v>
      </c>
      <c r="K40" s="42"/>
      <c r="L40" s="33">
        <f t="shared" si="2"/>
        <v>0</v>
      </c>
      <c r="M40" s="196"/>
      <c r="N40" s="29">
        <f t="shared" si="10"/>
        <v>15644.444444444445</v>
      </c>
      <c r="O40" s="30"/>
      <c r="P40" s="43"/>
      <c r="Q40" s="44"/>
      <c r="R40" s="33"/>
      <c r="V40" s="45"/>
      <c r="W40" s="7"/>
      <c r="X40" s="7"/>
      <c r="Y40" s="46"/>
      <c r="Z40" s="7">
        <f t="shared" si="15"/>
        <v>0</v>
      </c>
      <c r="AA40" s="7"/>
      <c r="AC40" s="7"/>
    </row>
    <row r="41" spans="1:29">
      <c r="A41" s="18">
        <v>43909</v>
      </c>
      <c r="B41" s="37">
        <f t="shared" si="0"/>
        <v>-83804.444444444438</v>
      </c>
      <c r="C41" s="29">
        <v>-40000</v>
      </c>
      <c r="D41" s="29">
        <f t="shared" ref="D41" si="21">-I39*O$4*(A41-A39)/360</f>
        <v>-43804.444444444445</v>
      </c>
      <c r="E41" s="38"/>
      <c r="F41" s="39"/>
      <c r="G41" s="47"/>
      <c r="H41" s="24">
        <f t="shared" si="1"/>
        <v>2520000</v>
      </c>
      <c r="I41" s="41">
        <f t="shared" si="3"/>
        <v>2520000</v>
      </c>
      <c r="J41" s="29">
        <f t="shared" si="4"/>
        <v>0</v>
      </c>
      <c r="K41" s="42"/>
      <c r="L41" s="33">
        <f t="shared" si="2"/>
        <v>0</v>
      </c>
      <c r="M41" s="196"/>
      <c r="N41" s="29">
        <f t="shared" si="9"/>
        <v>28160</v>
      </c>
      <c r="O41" s="30"/>
      <c r="P41" s="43"/>
      <c r="Q41" s="44"/>
      <c r="R41" s="33"/>
      <c r="V41" s="45"/>
      <c r="W41" s="7"/>
      <c r="X41" s="7"/>
      <c r="Y41" s="46"/>
      <c r="Z41" s="7"/>
      <c r="AA41" s="7"/>
      <c r="AC41" s="7"/>
    </row>
    <row r="42" spans="1:29">
      <c r="A42" s="18">
        <v>43921</v>
      </c>
      <c r="B42" s="37">
        <f t="shared" si="0"/>
        <v>0</v>
      </c>
      <c r="C42" s="29"/>
      <c r="D42" s="29">
        <v>0</v>
      </c>
      <c r="E42" s="38"/>
      <c r="F42" s="39"/>
      <c r="G42" s="47"/>
      <c r="H42" s="24">
        <f t="shared" si="1"/>
        <v>2540020</v>
      </c>
      <c r="I42" s="41">
        <f t="shared" si="3"/>
        <v>2520000</v>
      </c>
      <c r="J42" s="29">
        <f t="shared" si="4"/>
        <v>20020</v>
      </c>
      <c r="K42" s="42"/>
      <c r="L42" s="33">
        <f t="shared" si="2"/>
        <v>0</v>
      </c>
      <c r="M42" s="196"/>
      <c r="N42" s="29">
        <f t="shared" si="10"/>
        <v>20020</v>
      </c>
      <c r="O42" s="30"/>
      <c r="P42" s="43"/>
      <c r="Q42" s="44"/>
      <c r="R42" s="33"/>
      <c r="V42" s="45"/>
      <c r="W42" s="7"/>
      <c r="X42" s="7"/>
      <c r="Y42" s="46"/>
      <c r="Z42" s="7">
        <f t="shared" si="15"/>
        <v>0</v>
      </c>
      <c r="AA42" s="7"/>
      <c r="AC42" s="7"/>
    </row>
    <row r="43" spans="1:29">
      <c r="A43" s="18">
        <v>43941</v>
      </c>
      <c r="B43" s="37">
        <f t="shared" si="0"/>
        <v>-89280</v>
      </c>
      <c r="C43" s="29">
        <v>-40000</v>
      </c>
      <c r="D43" s="29">
        <f t="shared" ref="D43" si="22">-I41*O$4*(A43-A41)/360</f>
        <v>-49280</v>
      </c>
      <c r="E43" s="38"/>
      <c r="F43" s="39"/>
      <c r="G43" s="47"/>
      <c r="H43" s="24">
        <f t="shared" si="1"/>
        <v>2480000</v>
      </c>
      <c r="I43" s="41">
        <f t="shared" si="3"/>
        <v>2480000</v>
      </c>
      <c r="J43" s="29">
        <f t="shared" si="4"/>
        <v>0</v>
      </c>
      <c r="K43" s="42"/>
      <c r="L43" s="33">
        <f t="shared" si="2"/>
        <v>0</v>
      </c>
      <c r="M43" s="196"/>
      <c r="N43" s="29">
        <f t="shared" si="9"/>
        <v>29260</v>
      </c>
      <c r="O43" s="30"/>
      <c r="P43" s="43"/>
      <c r="Q43" s="44"/>
      <c r="R43" s="33"/>
      <c r="V43" s="45"/>
      <c r="W43" s="7"/>
      <c r="X43" s="7"/>
      <c r="Y43" s="46"/>
      <c r="Z43" s="7"/>
      <c r="AA43" s="7"/>
      <c r="AC43" s="7"/>
    </row>
    <row r="44" spans="1:29">
      <c r="A44" s="18">
        <v>43951</v>
      </c>
      <c r="B44" s="37">
        <f t="shared" si="0"/>
        <v>0</v>
      </c>
      <c r="C44" s="29"/>
      <c r="D44" s="29">
        <v>0</v>
      </c>
      <c r="E44" s="38"/>
      <c r="F44" s="39"/>
      <c r="G44" s="47"/>
      <c r="H44" s="24">
        <f t="shared" si="1"/>
        <v>2496671.111111111</v>
      </c>
      <c r="I44" s="41">
        <f t="shared" si="3"/>
        <v>2480000</v>
      </c>
      <c r="J44" s="29">
        <f t="shared" si="4"/>
        <v>16671.111111111109</v>
      </c>
      <c r="K44" s="42"/>
      <c r="L44" s="33">
        <f t="shared" si="2"/>
        <v>0</v>
      </c>
      <c r="M44" s="196"/>
      <c r="N44" s="29">
        <f t="shared" si="10"/>
        <v>16671.111111111109</v>
      </c>
      <c r="O44" s="30"/>
      <c r="P44" s="43"/>
      <c r="Q44" s="44"/>
      <c r="R44" s="33"/>
      <c r="V44" s="45"/>
      <c r="W44" s="7"/>
      <c r="X44" s="7"/>
      <c r="Y44" s="46"/>
      <c r="Z44" s="7">
        <f t="shared" si="15"/>
        <v>0</v>
      </c>
      <c r="AA44" s="7"/>
      <c r="AC44" s="7"/>
    </row>
    <row r="45" spans="1:29">
      <c r="A45" s="18">
        <v>43971</v>
      </c>
      <c r="B45" s="37">
        <f t="shared" si="0"/>
        <v>-85466.666666666657</v>
      </c>
      <c r="C45" s="29">
        <v>-40000</v>
      </c>
      <c r="D45" s="29">
        <f t="shared" ref="D45" si="23">-I43*O$4*(A45-A43)/360</f>
        <v>-45466.666666666664</v>
      </c>
      <c r="E45" s="38"/>
      <c r="F45" s="39"/>
      <c r="G45" s="47"/>
      <c r="H45" s="24">
        <f t="shared" si="1"/>
        <v>2440000</v>
      </c>
      <c r="I45" s="41">
        <f t="shared" si="3"/>
        <v>2440000</v>
      </c>
      <c r="J45" s="29">
        <f t="shared" si="4"/>
        <v>0</v>
      </c>
      <c r="K45" s="42"/>
      <c r="L45" s="33">
        <f t="shared" si="2"/>
        <v>0</v>
      </c>
      <c r="M45" s="196"/>
      <c r="N45" s="29">
        <f t="shared" si="9"/>
        <v>28795.555555555555</v>
      </c>
      <c r="O45" s="30"/>
      <c r="P45" s="43"/>
      <c r="Q45" s="44"/>
      <c r="R45" s="33"/>
      <c r="V45" s="45"/>
      <c r="W45" s="7"/>
      <c r="X45" s="7"/>
      <c r="Y45" s="46"/>
      <c r="Z45" s="7"/>
      <c r="AA45" s="7"/>
      <c r="AC45" s="7"/>
    </row>
    <row r="46" spans="1:29">
      <c r="A46" s="18">
        <v>43982</v>
      </c>
      <c r="B46" s="37">
        <f t="shared" si="0"/>
        <v>0</v>
      </c>
      <c r="C46" s="29"/>
      <c r="D46" s="29">
        <v>0</v>
      </c>
      <c r="E46" s="38"/>
      <c r="F46" s="39"/>
      <c r="G46" s="47"/>
      <c r="H46" s="24">
        <f t="shared" si="1"/>
        <v>2457893.3333333335</v>
      </c>
      <c r="I46" s="41">
        <f t="shared" si="3"/>
        <v>2440000</v>
      </c>
      <c r="J46" s="29">
        <f t="shared" si="4"/>
        <v>17893.333333333332</v>
      </c>
      <c r="K46" s="42"/>
      <c r="L46" s="33">
        <f t="shared" si="2"/>
        <v>0</v>
      </c>
      <c r="M46" s="196"/>
      <c r="N46" s="29">
        <f t="shared" si="10"/>
        <v>17893.333333333332</v>
      </c>
      <c r="O46" s="30"/>
      <c r="P46" s="43"/>
      <c r="Q46" s="44"/>
      <c r="R46" s="33"/>
      <c r="V46" s="45"/>
      <c r="W46" s="7"/>
      <c r="X46" s="7"/>
      <c r="Y46" s="46"/>
      <c r="Z46" s="7">
        <f t="shared" si="15"/>
        <v>0</v>
      </c>
      <c r="AA46" s="7"/>
      <c r="AC46" s="7"/>
    </row>
    <row r="47" spans="1:29">
      <c r="A47" s="18">
        <v>44002</v>
      </c>
      <c r="B47" s="37">
        <f t="shared" si="0"/>
        <v>-86224.444444444438</v>
      </c>
      <c r="C47" s="29">
        <v>-40000</v>
      </c>
      <c r="D47" s="29">
        <f t="shared" ref="D47" si="24">-I45*O$4*(A47-A45)/360</f>
        <v>-46224.444444444445</v>
      </c>
      <c r="E47" s="38"/>
      <c r="F47" s="39"/>
      <c r="G47" s="47"/>
      <c r="H47" s="24">
        <f t="shared" si="1"/>
        <v>2400000</v>
      </c>
      <c r="I47" s="41">
        <f t="shared" si="3"/>
        <v>2400000</v>
      </c>
      <c r="J47" s="29">
        <f t="shared" si="4"/>
        <v>0</v>
      </c>
      <c r="K47" s="42"/>
      <c r="L47" s="33">
        <f t="shared" si="2"/>
        <v>0</v>
      </c>
      <c r="M47" s="196"/>
      <c r="N47" s="29">
        <f t="shared" si="9"/>
        <v>28331.111111111109</v>
      </c>
      <c r="O47" s="30"/>
      <c r="P47" s="43"/>
      <c r="Q47" s="44"/>
      <c r="R47" s="33"/>
      <c r="V47" s="45"/>
      <c r="W47" s="7"/>
      <c r="X47" s="7"/>
      <c r="Y47" s="46"/>
      <c r="Z47" s="7"/>
      <c r="AA47" s="7"/>
      <c r="AC47" s="7"/>
    </row>
    <row r="48" spans="1:29">
      <c r="A48" s="18">
        <v>44012</v>
      </c>
      <c r="B48" s="37">
        <f t="shared" si="0"/>
        <v>0</v>
      </c>
      <c r="C48" s="29"/>
      <c r="D48" s="29">
        <v>0</v>
      </c>
      <c r="E48" s="38"/>
      <c r="F48" s="39"/>
      <c r="G48" s="47"/>
      <c r="H48" s="24">
        <f t="shared" si="1"/>
        <v>2416133.3333333335</v>
      </c>
      <c r="I48" s="41">
        <f t="shared" si="3"/>
        <v>2400000</v>
      </c>
      <c r="J48" s="29">
        <f t="shared" si="4"/>
        <v>16133.333333333334</v>
      </c>
      <c r="K48" s="42"/>
      <c r="L48" s="33">
        <f t="shared" si="2"/>
        <v>0</v>
      </c>
      <c r="M48" s="196"/>
      <c r="N48" s="29">
        <f t="shared" si="10"/>
        <v>16133.333333333334</v>
      </c>
      <c r="O48" s="30"/>
      <c r="P48" s="43"/>
      <c r="Q48" s="44"/>
      <c r="R48" s="33"/>
      <c r="V48" s="45"/>
      <c r="W48" s="7"/>
      <c r="X48" s="7"/>
      <c r="Y48" s="46"/>
      <c r="Z48" s="7">
        <f t="shared" si="15"/>
        <v>0</v>
      </c>
      <c r="AA48" s="7"/>
      <c r="AC48" s="7"/>
    </row>
    <row r="49" spans="1:29">
      <c r="A49" s="18">
        <v>44030</v>
      </c>
      <c r="B49" s="37">
        <f t="shared" si="0"/>
        <v>-81066.666666666657</v>
      </c>
      <c r="C49" s="29">
        <v>-40000</v>
      </c>
      <c r="D49" s="29">
        <f t="shared" ref="D49" si="25">-I47*O$4*(A49-A47)/360</f>
        <v>-41066.666666666664</v>
      </c>
      <c r="E49" s="38"/>
      <c r="F49" s="39"/>
      <c r="G49" s="47"/>
      <c r="H49" s="24">
        <f t="shared" si="1"/>
        <v>2360000</v>
      </c>
      <c r="I49" s="41">
        <f t="shared" si="3"/>
        <v>2360000</v>
      </c>
      <c r="J49" s="29">
        <f t="shared" si="4"/>
        <v>0</v>
      </c>
      <c r="K49" s="42"/>
      <c r="L49" s="33">
        <f t="shared" si="2"/>
        <v>0</v>
      </c>
      <c r="M49" s="196"/>
      <c r="N49" s="29">
        <f t="shared" si="9"/>
        <v>24933.333333333332</v>
      </c>
      <c r="O49" s="30"/>
      <c r="P49" s="43"/>
      <c r="Q49" s="44"/>
      <c r="R49" s="33"/>
      <c r="V49" s="45"/>
      <c r="W49" s="7"/>
      <c r="X49" s="7"/>
      <c r="Y49" s="46"/>
      <c r="Z49" s="7"/>
      <c r="AA49" s="7"/>
      <c r="AC49" s="7"/>
    </row>
    <row r="50" spans="1:29">
      <c r="A50" s="18">
        <v>44043</v>
      </c>
      <c r="B50" s="37">
        <f t="shared" si="0"/>
        <v>0</v>
      </c>
      <c r="C50" s="29"/>
      <c r="D50" s="29">
        <v>0</v>
      </c>
      <c r="E50" s="38"/>
      <c r="F50" s="39"/>
      <c r="G50" s="47"/>
      <c r="H50" s="24">
        <f t="shared" si="1"/>
        <v>2380191.111111111</v>
      </c>
      <c r="I50" s="41">
        <f t="shared" si="3"/>
        <v>2360000</v>
      </c>
      <c r="J50" s="29">
        <f t="shared" si="4"/>
        <v>20191.111111111109</v>
      </c>
      <c r="K50" s="42"/>
      <c r="L50" s="33">
        <f t="shared" si="2"/>
        <v>0</v>
      </c>
      <c r="M50" s="196"/>
      <c r="N50" s="29">
        <f t="shared" si="10"/>
        <v>20191.111111111109</v>
      </c>
      <c r="O50" s="30"/>
      <c r="P50" s="43"/>
      <c r="Q50" s="44"/>
      <c r="R50" s="33"/>
      <c r="V50" s="45"/>
      <c r="W50" s="7"/>
      <c r="X50" s="7"/>
      <c r="Y50" s="46"/>
      <c r="Z50" s="7">
        <f t="shared" si="15"/>
        <v>0</v>
      </c>
      <c r="AA50" s="7"/>
      <c r="AC50" s="7"/>
    </row>
    <row r="51" spans="1:29">
      <c r="A51" s="18">
        <v>44063</v>
      </c>
      <c r="B51" s="37">
        <f t="shared" si="0"/>
        <v>-87593.333333333343</v>
      </c>
      <c r="C51" s="29">
        <v>-40000</v>
      </c>
      <c r="D51" s="29">
        <f t="shared" ref="D51" si="26">-I49*O$4*(A51-A49)/360</f>
        <v>-47593.333333333336</v>
      </c>
      <c r="E51" s="38"/>
      <c r="F51" s="39"/>
      <c r="G51" s="47"/>
      <c r="H51" s="24">
        <f t="shared" si="1"/>
        <v>2320000</v>
      </c>
      <c r="I51" s="41">
        <f t="shared" si="3"/>
        <v>2320000</v>
      </c>
      <c r="J51" s="29">
        <f t="shared" si="4"/>
        <v>0</v>
      </c>
      <c r="K51" s="42"/>
      <c r="L51" s="33">
        <f t="shared" si="2"/>
        <v>0</v>
      </c>
      <c r="M51" s="196"/>
      <c r="N51" s="29">
        <f t="shared" si="9"/>
        <v>27402.222222222223</v>
      </c>
      <c r="O51" s="30"/>
      <c r="P51" s="43"/>
      <c r="Q51" s="44"/>
      <c r="R51" s="33"/>
      <c r="V51" s="45"/>
      <c r="W51" s="7"/>
      <c r="X51" s="7"/>
      <c r="Y51" s="46"/>
      <c r="Z51" s="7"/>
      <c r="AA51" s="7"/>
      <c r="AC51" s="7"/>
    </row>
    <row r="52" spans="1:29">
      <c r="A52" s="18">
        <v>44074</v>
      </c>
      <c r="B52" s="37">
        <f t="shared" si="0"/>
        <v>0</v>
      </c>
      <c r="C52" s="29"/>
      <c r="D52" s="29">
        <v>0</v>
      </c>
      <c r="E52" s="38"/>
      <c r="F52" s="39"/>
      <c r="G52" s="47"/>
      <c r="H52" s="24">
        <f t="shared" si="1"/>
        <v>2337013.3333333335</v>
      </c>
      <c r="I52" s="41">
        <f t="shared" si="3"/>
        <v>2320000</v>
      </c>
      <c r="J52" s="29">
        <f t="shared" si="4"/>
        <v>17013.333333333332</v>
      </c>
      <c r="K52" s="42"/>
      <c r="L52" s="33">
        <f t="shared" si="2"/>
        <v>0</v>
      </c>
      <c r="M52" s="196"/>
      <c r="N52" s="29">
        <f t="shared" si="10"/>
        <v>17013.333333333332</v>
      </c>
      <c r="O52" s="30"/>
      <c r="P52" s="43"/>
      <c r="Q52" s="44"/>
      <c r="R52" s="33"/>
      <c r="V52" s="45"/>
      <c r="W52" s="7"/>
      <c r="X52" s="7"/>
      <c r="Y52" s="46"/>
      <c r="Z52" s="7">
        <f t="shared" si="15"/>
        <v>0</v>
      </c>
      <c r="AA52" s="7"/>
      <c r="AC52" s="7"/>
    </row>
    <row r="53" spans="1:29">
      <c r="A53" s="18">
        <v>44093</v>
      </c>
      <c r="B53" s="37">
        <f t="shared" si="0"/>
        <v>-82533.333333333343</v>
      </c>
      <c r="C53" s="29">
        <v>-40000</v>
      </c>
      <c r="D53" s="29">
        <f t="shared" ref="D53" si="27">-I51*O$4*(A53-A51)/360</f>
        <v>-42533.333333333336</v>
      </c>
      <c r="E53" s="38"/>
      <c r="F53" s="39"/>
      <c r="G53" s="47"/>
      <c r="H53" s="24">
        <f t="shared" si="1"/>
        <v>2280000</v>
      </c>
      <c r="I53" s="41">
        <f t="shared" si="3"/>
        <v>2280000</v>
      </c>
      <c r="J53" s="29">
        <f t="shared" si="4"/>
        <v>0</v>
      </c>
      <c r="K53" s="42"/>
      <c r="L53" s="33">
        <f t="shared" si="2"/>
        <v>0</v>
      </c>
      <c r="M53" s="196"/>
      <c r="N53" s="29">
        <f t="shared" si="9"/>
        <v>25520</v>
      </c>
      <c r="O53" s="30"/>
      <c r="P53" s="43"/>
      <c r="Q53" s="44"/>
      <c r="R53" s="33"/>
      <c r="V53" s="45"/>
      <c r="W53" s="7"/>
      <c r="X53" s="7"/>
      <c r="Y53" s="46"/>
      <c r="Z53" s="7"/>
      <c r="AA53" s="7"/>
      <c r="AC53" s="7"/>
    </row>
    <row r="54" spans="1:29">
      <c r="A54" s="18">
        <v>44104</v>
      </c>
      <c r="B54" s="37">
        <f t="shared" si="0"/>
        <v>0</v>
      </c>
      <c r="C54" s="29"/>
      <c r="D54" s="29">
        <v>0</v>
      </c>
      <c r="E54" s="38"/>
      <c r="F54" s="39"/>
      <c r="G54" s="47"/>
      <c r="H54" s="24">
        <f t="shared" si="1"/>
        <v>2296720</v>
      </c>
      <c r="I54" s="41">
        <f t="shared" si="3"/>
        <v>2280000</v>
      </c>
      <c r="J54" s="29">
        <f t="shared" si="4"/>
        <v>16720</v>
      </c>
      <c r="K54" s="42"/>
      <c r="L54" s="33">
        <f t="shared" si="2"/>
        <v>0</v>
      </c>
      <c r="M54" s="196"/>
      <c r="N54" s="29">
        <f t="shared" si="10"/>
        <v>16720</v>
      </c>
      <c r="O54" s="30"/>
      <c r="P54" s="43"/>
      <c r="Q54" s="44"/>
      <c r="R54" s="33"/>
      <c r="V54" s="45"/>
      <c r="W54" s="7"/>
      <c r="X54" s="7"/>
      <c r="Y54" s="46"/>
      <c r="Z54" s="7">
        <f t="shared" si="15"/>
        <v>0</v>
      </c>
      <c r="AA54" s="7"/>
      <c r="AC54" s="7"/>
    </row>
    <row r="55" spans="1:29">
      <c r="A55" s="18">
        <v>44124</v>
      </c>
      <c r="B55" s="37">
        <f t="shared" si="0"/>
        <v>-83193.333333333343</v>
      </c>
      <c r="C55" s="29">
        <v>-40000</v>
      </c>
      <c r="D55" s="29">
        <f t="shared" ref="D55" si="28">-I53*O$4*(A55-A53)/360</f>
        <v>-43193.333333333336</v>
      </c>
      <c r="E55" s="38"/>
      <c r="F55" s="39"/>
      <c r="G55" s="47"/>
      <c r="H55" s="24">
        <f t="shared" si="1"/>
        <v>2240000</v>
      </c>
      <c r="I55" s="41">
        <f t="shared" si="3"/>
        <v>2240000</v>
      </c>
      <c r="J55" s="29">
        <f t="shared" si="4"/>
        <v>0</v>
      </c>
      <c r="K55" s="42"/>
      <c r="L55" s="33">
        <f t="shared" si="2"/>
        <v>0</v>
      </c>
      <c r="M55" s="196"/>
      <c r="N55" s="29">
        <f t="shared" si="9"/>
        <v>26473.333333333332</v>
      </c>
      <c r="O55" s="30"/>
      <c r="P55" s="43"/>
      <c r="Q55" s="44"/>
      <c r="R55" s="33"/>
      <c r="V55" s="45"/>
      <c r="W55" s="7"/>
      <c r="X55" s="7"/>
      <c r="Y55" s="46"/>
      <c r="Z55" s="7"/>
      <c r="AA55" s="7"/>
      <c r="AC55" s="7"/>
    </row>
    <row r="56" spans="1:29">
      <c r="A56" s="18">
        <v>44135</v>
      </c>
      <c r="B56" s="37">
        <f t="shared" si="0"/>
        <v>0</v>
      </c>
      <c r="C56" s="29"/>
      <c r="D56" s="29">
        <v>0</v>
      </c>
      <c r="E56" s="38"/>
      <c r="F56" s="39"/>
      <c r="G56" s="47"/>
      <c r="H56" s="24">
        <f t="shared" si="1"/>
        <v>2256426.6666666665</v>
      </c>
      <c r="I56" s="41">
        <f t="shared" si="3"/>
        <v>2240000</v>
      </c>
      <c r="J56" s="29">
        <f t="shared" si="4"/>
        <v>16426.666666666668</v>
      </c>
      <c r="K56" s="42"/>
      <c r="L56" s="33">
        <f t="shared" si="2"/>
        <v>0</v>
      </c>
      <c r="M56" s="196"/>
      <c r="N56" s="29">
        <f t="shared" si="10"/>
        <v>16426.666666666668</v>
      </c>
      <c r="O56" s="30"/>
      <c r="P56" s="43"/>
      <c r="Q56" s="44"/>
      <c r="R56" s="33"/>
      <c r="V56" s="45"/>
      <c r="W56" s="7"/>
      <c r="X56" s="7"/>
      <c r="Y56" s="46"/>
      <c r="Z56" s="7">
        <f t="shared" si="15"/>
        <v>0</v>
      </c>
      <c r="AA56" s="7"/>
      <c r="AC56" s="7"/>
    </row>
    <row r="57" spans="1:29">
      <c r="A57" s="18">
        <v>44155</v>
      </c>
      <c r="B57" s="37">
        <f t="shared" si="0"/>
        <v>-82435.555555555562</v>
      </c>
      <c r="C57" s="29">
        <v>-40000</v>
      </c>
      <c r="D57" s="29">
        <f t="shared" ref="D57" si="29">-I55*O$4*(A57-A55)/360</f>
        <v>-42435.555555555555</v>
      </c>
      <c r="E57" s="38"/>
      <c r="F57" s="39"/>
      <c r="G57" s="47"/>
      <c r="H57" s="24">
        <f t="shared" si="1"/>
        <v>2200000</v>
      </c>
      <c r="I57" s="41">
        <f t="shared" si="3"/>
        <v>2200000</v>
      </c>
      <c r="J57" s="29">
        <f t="shared" si="4"/>
        <v>0</v>
      </c>
      <c r="K57" s="42"/>
      <c r="L57" s="33">
        <f t="shared" si="2"/>
        <v>0</v>
      </c>
      <c r="M57" s="196"/>
      <c r="N57" s="29">
        <f t="shared" si="9"/>
        <v>26008.888888888891</v>
      </c>
      <c r="O57" s="30"/>
      <c r="P57" s="43"/>
      <c r="Q57" s="44"/>
      <c r="R57" s="33"/>
      <c r="V57" s="45"/>
      <c r="W57" s="7"/>
      <c r="X57" s="7"/>
      <c r="Y57" s="46"/>
      <c r="Z57" s="7"/>
      <c r="AA57" s="7"/>
      <c r="AC57" s="7"/>
    </row>
    <row r="58" spans="1:29">
      <c r="A58" s="18">
        <v>44165</v>
      </c>
      <c r="B58" s="37">
        <f t="shared" si="0"/>
        <v>0</v>
      </c>
      <c r="C58" s="29"/>
      <c r="D58" s="29">
        <v>0</v>
      </c>
      <c r="E58" s="38"/>
      <c r="F58" s="39"/>
      <c r="G58" s="47"/>
      <c r="H58" s="24">
        <f t="shared" si="1"/>
        <v>2214788.888888889</v>
      </c>
      <c r="I58" s="41">
        <f t="shared" si="3"/>
        <v>2200000</v>
      </c>
      <c r="J58" s="29">
        <f t="shared" si="4"/>
        <v>14788.888888888889</v>
      </c>
      <c r="K58" s="42"/>
      <c r="L58" s="33">
        <f t="shared" si="2"/>
        <v>0</v>
      </c>
      <c r="M58" s="196"/>
      <c r="N58" s="29">
        <f t="shared" si="10"/>
        <v>14788.888888888889</v>
      </c>
      <c r="O58" s="30"/>
      <c r="P58" s="43"/>
      <c r="Q58" s="44"/>
      <c r="R58" s="33"/>
      <c r="V58" s="45"/>
      <c r="W58" s="7"/>
      <c r="X58" s="7"/>
      <c r="Y58" s="46"/>
      <c r="Z58" s="7">
        <f t="shared" si="15"/>
        <v>0</v>
      </c>
      <c r="AA58" s="7"/>
      <c r="AC58" s="7"/>
    </row>
    <row r="59" spans="1:29">
      <c r="A59" s="18">
        <v>44184</v>
      </c>
      <c r="B59" s="37">
        <f t="shared" si="0"/>
        <v>-78988.888888888891</v>
      </c>
      <c r="C59" s="29">
        <v>-40000</v>
      </c>
      <c r="D59" s="29">
        <f t="shared" ref="D59" si="30">-I57*O$4*(A59-A57)/360</f>
        <v>-38988.888888888891</v>
      </c>
      <c r="E59" s="38"/>
      <c r="F59" s="39"/>
      <c r="G59" s="47"/>
      <c r="H59" s="24">
        <f t="shared" si="1"/>
        <v>2160000</v>
      </c>
      <c r="I59" s="41">
        <f t="shared" si="3"/>
        <v>2160000</v>
      </c>
      <c r="J59" s="29">
        <f t="shared" si="4"/>
        <v>0</v>
      </c>
      <c r="K59" s="42"/>
      <c r="L59" s="33">
        <f t="shared" si="2"/>
        <v>0</v>
      </c>
      <c r="M59" s="196"/>
      <c r="N59" s="29">
        <f t="shared" si="9"/>
        <v>24200</v>
      </c>
      <c r="O59" s="30"/>
      <c r="P59" s="43"/>
      <c r="Q59" s="44"/>
      <c r="R59" s="33"/>
      <c r="V59" s="45"/>
      <c r="W59" s="7"/>
      <c r="X59" s="7"/>
      <c r="Y59" s="46"/>
      <c r="Z59" s="7"/>
      <c r="AA59" s="7"/>
      <c r="AC59" s="7"/>
    </row>
    <row r="60" spans="1:29">
      <c r="A60" s="18">
        <v>44196</v>
      </c>
      <c r="B60" s="37">
        <f t="shared" si="0"/>
        <v>0</v>
      </c>
      <c r="C60" s="29"/>
      <c r="D60" s="29">
        <v>0</v>
      </c>
      <c r="E60" s="38"/>
      <c r="F60" s="39"/>
      <c r="G60" s="47"/>
      <c r="H60" s="24">
        <f t="shared" si="1"/>
        <v>2177160</v>
      </c>
      <c r="I60" s="41">
        <f t="shared" si="3"/>
        <v>2160000</v>
      </c>
      <c r="J60" s="29">
        <f t="shared" si="4"/>
        <v>17160</v>
      </c>
      <c r="K60" s="42"/>
      <c r="L60" s="33">
        <f t="shared" si="2"/>
        <v>0</v>
      </c>
      <c r="M60" s="196"/>
      <c r="N60" s="29">
        <f t="shared" si="10"/>
        <v>17160</v>
      </c>
      <c r="O60" s="30"/>
      <c r="P60" s="43"/>
      <c r="Q60" s="44"/>
      <c r="R60" s="33"/>
      <c r="V60" s="45"/>
      <c r="W60" s="7"/>
      <c r="X60" s="7"/>
      <c r="Y60" s="46"/>
      <c r="Z60" s="7">
        <f t="shared" si="15"/>
        <v>0</v>
      </c>
      <c r="AA60" s="7"/>
      <c r="AC60" s="7"/>
    </row>
    <row r="61" spans="1:29">
      <c r="A61" s="18">
        <v>44216</v>
      </c>
      <c r="B61" s="37">
        <f t="shared" si="0"/>
        <v>-82240</v>
      </c>
      <c r="C61" s="29">
        <v>-40000</v>
      </c>
      <c r="D61" s="29">
        <f t="shared" ref="D61" si="31">-I59*O$4*(A61-A59)/360</f>
        <v>-42240</v>
      </c>
      <c r="E61" s="38"/>
      <c r="F61" s="39"/>
      <c r="G61" s="47"/>
      <c r="H61" s="24">
        <f t="shared" si="1"/>
        <v>2120000</v>
      </c>
      <c r="I61" s="41">
        <f t="shared" si="3"/>
        <v>2120000</v>
      </c>
      <c r="J61" s="29">
        <f t="shared" si="4"/>
        <v>0</v>
      </c>
      <c r="K61" s="42"/>
      <c r="L61" s="33">
        <f t="shared" si="2"/>
        <v>0</v>
      </c>
      <c r="M61" s="196"/>
      <c r="N61" s="29">
        <f t="shared" si="9"/>
        <v>25080</v>
      </c>
      <c r="O61" s="30"/>
      <c r="P61" s="43"/>
      <c r="Q61" s="44"/>
      <c r="R61" s="33"/>
      <c r="V61" s="45"/>
      <c r="W61" s="7"/>
      <c r="X61" s="7"/>
      <c r="Y61" s="46"/>
      <c r="Z61" s="7"/>
      <c r="AA61" s="7"/>
      <c r="AC61" s="7"/>
    </row>
    <row r="62" spans="1:29">
      <c r="A62" s="18">
        <v>44227</v>
      </c>
      <c r="B62" s="37">
        <f t="shared" si="0"/>
        <v>0</v>
      </c>
      <c r="C62" s="29"/>
      <c r="D62" s="29">
        <v>0</v>
      </c>
      <c r="E62" s="38"/>
      <c r="F62" s="39"/>
      <c r="G62" s="47"/>
      <c r="H62" s="24">
        <f t="shared" si="1"/>
        <v>2135546.6666666665</v>
      </c>
      <c r="I62" s="41">
        <f t="shared" si="3"/>
        <v>2120000</v>
      </c>
      <c r="J62" s="29">
        <f t="shared" si="4"/>
        <v>15546.666666666666</v>
      </c>
      <c r="K62" s="42"/>
      <c r="L62" s="33">
        <f t="shared" si="2"/>
        <v>0</v>
      </c>
      <c r="M62" s="196"/>
      <c r="N62" s="29">
        <f t="shared" si="10"/>
        <v>15546.666666666666</v>
      </c>
      <c r="O62" s="30"/>
      <c r="P62" s="43"/>
      <c r="Q62" s="44"/>
      <c r="R62" s="33"/>
      <c r="V62" s="45"/>
      <c r="W62" s="7"/>
      <c r="X62" s="7"/>
      <c r="Y62" s="46"/>
      <c r="Z62" s="7">
        <f t="shared" si="15"/>
        <v>0</v>
      </c>
      <c r="AA62" s="7"/>
      <c r="AC62" s="7"/>
    </row>
    <row r="63" spans="1:29">
      <c r="A63" s="18">
        <v>44247</v>
      </c>
      <c r="B63" s="37">
        <f t="shared" si="0"/>
        <v>-80162.222222222219</v>
      </c>
      <c r="C63" s="29">
        <v>-40000</v>
      </c>
      <c r="D63" s="29">
        <f t="shared" ref="D63" si="32">-I61*O$4*(A63-A61)/360</f>
        <v>-40162.222222222219</v>
      </c>
      <c r="E63" s="38"/>
      <c r="F63" s="39"/>
      <c r="G63" s="47"/>
      <c r="H63" s="24">
        <f t="shared" si="1"/>
        <v>2080000</v>
      </c>
      <c r="I63" s="41">
        <f t="shared" si="3"/>
        <v>2080000</v>
      </c>
      <c r="J63" s="29">
        <f t="shared" si="4"/>
        <v>0</v>
      </c>
      <c r="K63" s="42"/>
      <c r="L63" s="33">
        <f t="shared" si="2"/>
        <v>0</v>
      </c>
      <c r="M63" s="196"/>
      <c r="N63" s="29">
        <f t="shared" si="9"/>
        <v>24615.555555555555</v>
      </c>
      <c r="O63" s="30"/>
      <c r="P63" s="43"/>
      <c r="Q63" s="44"/>
      <c r="R63" s="33"/>
      <c r="V63" s="45"/>
      <c r="W63" s="7"/>
      <c r="X63" s="7"/>
      <c r="Y63" s="46"/>
      <c r="Z63" s="7"/>
      <c r="AA63" s="7"/>
      <c r="AC63" s="7"/>
    </row>
    <row r="64" spans="1:29">
      <c r="A64" s="18">
        <v>44255</v>
      </c>
      <c r="B64" s="37">
        <f t="shared" si="0"/>
        <v>0</v>
      </c>
      <c r="C64" s="29"/>
      <c r="D64" s="29">
        <v>0</v>
      </c>
      <c r="E64" s="38"/>
      <c r="F64" s="39"/>
      <c r="G64" s="47"/>
      <c r="H64" s="24">
        <f t="shared" si="1"/>
        <v>2091440</v>
      </c>
      <c r="I64" s="41">
        <f t="shared" si="3"/>
        <v>2080000</v>
      </c>
      <c r="J64" s="29">
        <f t="shared" si="4"/>
        <v>11440</v>
      </c>
      <c r="K64" s="42"/>
      <c r="L64" s="33">
        <f t="shared" si="2"/>
        <v>0</v>
      </c>
      <c r="M64" s="196"/>
      <c r="N64" s="29">
        <f t="shared" si="10"/>
        <v>11440</v>
      </c>
      <c r="O64" s="30"/>
      <c r="P64" s="43"/>
      <c r="Q64" s="44"/>
      <c r="R64" s="33"/>
      <c r="V64" s="45"/>
      <c r="W64" s="7"/>
      <c r="X64" s="7"/>
      <c r="Y64" s="46"/>
      <c r="Z64" s="7">
        <f t="shared" si="15"/>
        <v>0</v>
      </c>
      <c r="AA64" s="7"/>
      <c r="AC64" s="7"/>
    </row>
    <row r="65" spans="1:29">
      <c r="A65" s="18">
        <v>44275</v>
      </c>
      <c r="B65" s="37">
        <f t="shared" si="0"/>
        <v>-75591.111111111109</v>
      </c>
      <c r="C65" s="29">
        <v>-40000</v>
      </c>
      <c r="D65" s="29">
        <f t="shared" ref="D65" si="33">-I63*O$4*(A65-A63)/360</f>
        <v>-35591.111111111109</v>
      </c>
      <c r="E65" s="38"/>
      <c r="F65" s="39"/>
      <c r="G65" s="47"/>
      <c r="H65" s="24">
        <f t="shared" si="1"/>
        <v>2040000</v>
      </c>
      <c r="I65" s="41">
        <f t="shared" si="3"/>
        <v>2040000</v>
      </c>
      <c r="J65" s="29">
        <f t="shared" si="4"/>
        <v>0</v>
      </c>
      <c r="K65" s="42"/>
      <c r="L65" s="33">
        <f t="shared" si="2"/>
        <v>0</v>
      </c>
      <c r="M65" s="196"/>
      <c r="N65" s="29">
        <f t="shared" si="9"/>
        <v>24151.111111111109</v>
      </c>
      <c r="O65" s="30"/>
      <c r="P65" s="43"/>
      <c r="Q65" s="44"/>
      <c r="R65" s="33"/>
      <c r="V65" s="45"/>
      <c r="W65" s="7"/>
      <c r="X65" s="7"/>
      <c r="Y65" s="46"/>
      <c r="Z65" s="7"/>
      <c r="AA65" s="7"/>
      <c r="AC65" s="7"/>
    </row>
    <row r="66" spans="1:29">
      <c r="A66" s="18">
        <v>44286</v>
      </c>
      <c r="B66" s="37">
        <f t="shared" si="0"/>
        <v>0</v>
      </c>
      <c r="C66" s="29"/>
      <c r="D66" s="29">
        <v>0</v>
      </c>
      <c r="E66" s="38"/>
      <c r="F66" s="39"/>
      <c r="G66" s="47"/>
      <c r="H66" s="24">
        <f t="shared" si="1"/>
        <v>2054960</v>
      </c>
      <c r="I66" s="41">
        <f t="shared" si="3"/>
        <v>2040000</v>
      </c>
      <c r="J66" s="29">
        <f t="shared" si="4"/>
        <v>14960</v>
      </c>
      <c r="K66" s="42"/>
      <c r="L66" s="33">
        <f t="shared" si="2"/>
        <v>0</v>
      </c>
      <c r="M66" s="196"/>
      <c r="N66" s="29">
        <f t="shared" si="10"/>
        <v>14960</v>
      </c>
      <c r="O66" s="30"/>
      <c r="P66" s="43"/>
      <c r="Q66" s="44"/>
      <c r="R66" s="33"/>
      <c r="V66" s="45"/>
      <c r="W66" s="7"/>
      <c r="X66" s="7"/>
      <c r="Y66" s="46"/>
      <c r="Z66" s="7">
        <f t="shared" si="15"/>
        <v>0</v>
      </c>
      <c r="AA66" s="7"/>
      <c r="AC66" s="7"/>
    </row>
    <row r="67" spans="1:29">
      <c r="A67" s="18">
        <v>44306</v>
      </c>
      <c r="B67" s="37">
        <f t="shared" si="0"/>
        <v>-78646.666666666657</v>
      </c>
      <c r="C67" s="29">
        <v>-40000</v>
      </c>
      <c r="D67" s="29">
        <f t="shared" ref="D67" si="34">-I65*O$4*(A67-A65)/360</f>
        <v>-38646.666666666664</v>
      </c>
      <c r="E67" s="38"/>
      <c r="F67" s="39"/>
      <c r="G67" s="47"/>
      <c r="H67" s="24">
        <f t="shared" si="1"/>
        <v>2000000</v>
      </c>
      <c r="I67" s="41">
        <f t="shared" si="3"/>
        <v>2000000</v>
      </c>
      <c r="J67" s="29">
        <f t="shared" si="4"/>
        <v>0</v>
      </c>
      <c r="K67" s="42"/>
      <c r="L67" s="33">
        <f t="shared" si="2"/>
        <v>0</v>
      </c>
      <c r="M67" s="196"/>
      <c r="N67" s="29">
        <f t="shared" si="9"/>
        <v>23686.666666666668</v>
      </c>
      <c r="O67" s="30"/>
      <c r="P67" s="43"/>
      <c r="Q67" s="44"/>
      <c r="R67" s="33"/>
      <c r="V67" s="45"/>
      <c r="W67" s="7"/>
      <c r="X67" s="7"/>
      <c r="Y67" s="46"/>
      <c r="Z67" s="7"/>
      <c r="AA67" s="7"/>
      <c r="AC67" s="7"/>
    </row>
    <row r="68" spans="1:29">
      <c r="A68" s="18">
        <v>44316</v>
      </c>
      <c r="B68" s="37">
        <f t="shared" si="0"/>
        <v>0</v>
      </c>
      <c r="C68" s="29"/>
      <c r="D68" s="29">
        <v>0</v>
      </c>
      <c r="E68" s="38"/>
      <c r="F68" s="39"/>
      <c r="G68" s="47"/>
      <c r="H68" s="24">
        <f t="shared" si="1"/>
        <v>2013444.4444444445</v>
      </c>
      <c r="I68" s="41">
        <f t="shared" si="3"/>
        <v>2000000</v>
      </c>
      <c r="J68" s="29">
        <f t="shared" si="4"/>
        <v>13444.444444444445</v>
      </c>
      <c r="K68" s="42"/>
      <c r="L68" s="33">
        <f t="shared" si="2"/>
        <v>0</v>
      </c>
      <c r="M68" s="196"/>
      <c r="N68" s="29">
        <f t="shared" si="10"/>
        <v>13444.444444444445</v>
      </c>
      <c r="O68" s="30"/>
      <c r="P68" s="43"/>
      <c r="Q68" s="44"/>
      <c r="R68" s="33"/>
      <c r="V68" s="45"/>
      <c r="W68" s="7"/>
      <c r="X68" s="7"/>
      <c r="Y68" s="46"/>
      <c r="Z68" s="7">
        <f t="shared" si="15"/>
        <v>0</v>
      </c>
      <c r="AA68" s="7"/>
      <c r="AC68" s="7"/>
    </row>
    <row r="69" spans="1:29">
      <c r="A69" s="18">
        <v>44336</v>
      </c>
      <c r="B69" s="37">
        <f t="shared" si="0"/>
        <v>-76666.666666666657</v>
      </c>
      <c r="C69" s="29">
        <v>-40000</v>
      </c>
      <c r="D69" s="29">
        <f t="shared" ref="D69" si="35">-I67*O$4*(A69-A67)/360</f>
        <v>-36666.666666666664</v>
      </c>
      <c r="E69" s="38"/>
      <c r="F69" s="39"/>
      <c r="G69" s="47"/>
      <c r="H69" s="24">
        <f t="shared" si="1"/>
        <v>1960000</v>
      </c>
      <c r="I69" s="41">
        <f t="shared" si="3"/>
        <v>1960000</v>
      </c>
      <c r="J69" s="29">
        <f t="shared" si="4"/>
        <v>0</v>
      </c>
      <c r="K69" s="42"/>
      <c r="L69" s="33">
        <f t="shared" si="2"/>
        <v>0</v>
      </c>
      <c r="M69" s="196"/>
      <c r="N69" s="29">
        <f t="shared" si="9"/>
        <v>23222.222222222223</v>
      </c>
      <c r="O69" s="30"/>
      <c r="P69" s="43"/>
      <c r="Q69" s="44"/>
      <c r="R69" s="33"/>
      <c r="V69" s="45"/>
      <c r="W69" s="7"/>
      <c r="X69" s="7"/>
      <c r="Y69" s="46"/>
      <c r="Z69" s="7"/>
      <c r="AA69" s="7"/>
      <c r="AC69" s="7"/>
    </row>
    <row r="70" spans="1:29">
      <c r="A70" s="18">
        <v>44347</v>
      </c>
      <c r="B70" s="37">
        <f t="shared" si="0"/>
        <v>0</v>
      </c>
      <c r="C70" s="29"/>
      <c r="D70" s="29">
        <v>0</v>
      </c>
      <c r="E70" s="38"/>
      <c r="F70" s="39"/>
      <c r="G70" s="47"/>
      <c r="H70" s="24">
        <f t="shared" si="1"/>
        <v>1974373.3333333333</v>
      </c>
      <c r="I70" s="41">
        <f t="shared" si="3"/>
        <v>1960000</v>
      </c>
      <c r="J70" s="29">
        <f t="shared" si="4"/>
        <v>14373.333333333334</v>
      </c>
      <c r="K70" s="42"/>
      <c r="L70" s="33">
        <f t="shared" si="2"/>
        <v>0</v>
      </c>
      <c r="M70" s="196"/>
      <c r="N70" s="29">
        <f t="shared" si="10"/>
        <v>14373.333333333334</v>
      </c>
      <c r="O70" s="30"/>
      <c r="P70" s="43"/>
      <c r="Q70" s="44"/>
      <c r="R70" s="33"/>
      <c r="V70" s="45"/>
      <c r="W70" s="7"/>
      <c r="X70" s="7"/>
      <c r="Y70" s="46"/>
      <c r="Z70" s="7">
        <f t="shared" si="15"/>
        <v>0</v>
      </c>
      <c r="AA70" s="7"/>
      <c r="AC70" s="7"/>
    </row>
    <row r="71" spans="1:29">
      <c r="A71" s="18">
        <v>44367</v>
      </c>
      <c r="B71" s="37">
        <f t="shared" si="0"/>
        <v>-77131.111111111109</v>
      </c>
      <c r="C71" s="29">
        <v>-40000</v>
      </c>
      <c r="D71" s="29">
        <f t="shared" ref="D71" si="36">-I69*O$4*(A71-A69)/360</f>
        <v>-37131.111111111109</v>
      </c>
      <c r="E71" s="38"/>
      <c r="F71" s="39"/>
      <c r="G71" s="47"/>
      <c r="H71" s="24">
        <f t="shared" si="1"/>
        <v>1920000</v>
      </c>
      <c r="I71" s="41">
        <f t="shared" si="3"/>
        <v>1920000</v>
      </c>
      <c r="J71" s="29">
        <f t="shared" si="4"/>
        <v>0</v>
      </c>
      <c r="K71" s="42"/>
      <c r="L71" s="33">
        <f t="shared" si="2"/>
        <v>0</v>
      </c>
      <c r="M71" s="196"/>
      <c r="N71" s="29">
        <f t="shared" si="9"/>
        <v>22757.777777777777</v>
      </c>
      <c r="O71" s="30"/>
      <c r="P71" s="43"/>
      <c r="Q71" s="44"/>
      <c r="R71" s="33"/>
      <c r="V71" s="45"/>
      <c r="W71" s="7"/>
      <c r="X71" s="7"/>
      <c r="Y71" s="46"/>
      <c r="Z71" s="7"/>
      <c r="AA71" s="7"/>
      <c r="AC71" s="7"/>
    </row>
    <row r="72" spans="1:29">
      <c r="A72" s="18">
        <v>44377</v>
      </c>
      <c r="B72" s="37">
        <f t="shared" si="0"/>
        <v>0</v>
      </c>
      <c r="C72" s="29"/>
      <c r="D72" s="29">
        <v>0</v>
      </c>
      <c r="E72" s="38"/>
      <c r="F72" s="39"/>
      <c r="G72" s="47"/>
      <c r="H72" s="24">
        <f t="shared" si="1"/>
        <v>1932906.6666666667</v>
      </c>
      <c r="I72" s="41">
        <f t="shared" si="3"/>
        <v>1920000</v>
      </c>
      <c r="J72" s="29">
        <f t="shared" si="4"/>
        <v>12906.666666666666</v>
      </c>
      <c r="K72" s="42"/>
      <c r="L72" s="33">
        <f t="shared" si="2"/>
        <v>0</v>
      </c>
      <c r="M72" s="196"/>
      <c r="N72" s="29">
        <f t="shared" si="10"/>
        <v>12906.666666666666</v>
      </c>
      <c r="O72" s="30"/>
      <c r="P72" s="43"/>
      <c r="Q72" s="44"/>
      <c r="R72" s="33"/>
      <c r="V72" s="45"/>
      <c r="W72" s="7"/>
      <c r="X72" s="7"/>
      <c r="Y72" s="46"/>
      <c r="Z72" s="7">
        <f t="shared" si="15"/>
        <v>0</v>
      </c>
      <c r="AA72" s="7"/>
      <c r="AC72" s="7"/>
    </row>
    <row r="73" spans="1:29">
      <c r="A73" s="18">
        <v>44397</v>
      </c>
      <c r="B73" s="37">
        <f t="shared" si="0"/>
        <v>-75200</v>
      </c>
      <c r="C73" s="29">
        <v>-40000</v>
      </c>
      <c r="D73" s="29">
        <f t="shared" ref="D73" si="37">-I71*O$4*(A73-A71)/360</f>
        <v>-35200</v>
      </c>
      <c r="E73" s="38"/>
      <c r="F73" s="39"/>
      <c r="G73" s="47"/>
      <c r="H73" s="24">
        <f t="shared" si="1"/>
        <v>1880000</v>
      </c>
      <c r="I73" s="41">
        <f t="shared" si="3"/>
        <v>1880000</v>
      </c>
      <c r="J73" s="29">
        <f t="shared" si="4"/>
        <v>0</v>
      </c>
      <c r="K73" s="42"/>
      <c r="L73" s="33">
        <f t="shared" si="2"/>
        <v>0</v>
      </c>
      <c r="M73" s="196"/>
      <c r="N73" s="29">
        <f t="shared" si="9"/>
        <v>22293.333333333332</v>
      </c>
      <c r="O73" s="30"/>
      <c r="P73" s="43"/>
      <c r="Q73" s="44"/>
      <c r="R73" s="33"/>
      <c r="V73" s="45"/>
      <c r="W73" s="7"/>
      <c r="X73" s="7"/>
      <c r="Y73" s="46"/>
      <c r="Z73" s="7"/>
      <c r="AA73" s="7"/>
      <c r="AC73" s="7"/>
    </row>
    <row r="74" spans="1:29">
      <c r="A74" s="18">
        <v>44408</v>
      </c>
      <c r="B74" s="37">
        <f t="shared" si="0"/>
        <v>0</v>
      </c>
      <c r="C74" s="29"/>
      <c r="D74" s="29">
        <v>0</v>
      </c>
      <c r="E74" s="38"/>
      <c r="F74" s="39"/>
      <c r="G74" s="47"/>
      <c r="H74" s="24">
        <f t="shared" si="1"/>
        <v>1893786.6666666667</v>
      </c>
      <c r="I74" s="41">
        <f t="shared" si="3"/>
        <v>1880000</v>
      </c>
      <c r="J74" s="29">
        <f t="shared" si="4"/>
        <v>13786.666666666666</v>
      </c>
      <c r="K74" s="42"/>
      <c r="L74" s="33">
        <f t="shared" si="2"/>
        <v>0</v>
      </c>
      <c r="M74" s="196"/>
      <c r="N74" s="29">
        <f t="shared" si="10"/>
        <v>13786.666666666666</v>
      </c>
      <c r="O74" s="30"/>
      <c r="P74" s="43"/>
      <c r="Q74" s="44"/>
      <c r="R74" s="33"/>
      <c r="V74" s="45"/>
      <c r="W74" s="7"/>
      <c r="X74" s="7"/>
      <c r="Y74" s="46"/>
      <c r="Z74" s="7">
        <f t="shared" si="15"/>
        <v>0</v>
      </c>
      <c r="AA74" s="7"/>
      <c r="AC74" s="7"/>
    </row>
    <row r="75" spans="1:29">
      <c r="A75" s="18">
        <v>44428</v>
      </c>
      <c r="B75" s="37">
        <f t="shared" si="0"/>
        <v>-75615.555555555562</v>
      </c>
      <c r="C75" s="29">
        <v>-40000</v>
      </c>
      <c r="D75" s="29">
        <f t="shared" ref="D75" si="38">-I73*O$4*(A75-A73)/360</f>
        <v>-35615.555555555555</v>
      </c>
      <c r="E75" s="38"/>
      <c r="F75" s="39"/>
      <c r="G75" s="47"/>
      <c r="H75" s="24">
        <f t="shared" si="1"/>
        <v>1840000</v>
      </c>
      <c r="I75" s="41">
        <f t="shared" si="3"/>
        <v>1840000</v>
      </c>
      <c r="J75" s="29">
        <f t="shared" si="4"/>
        <v>0</v>
      </c>
      <c r="K75" s="42"/>
      <c r="L75" s="33">
        <f t="shared" si="2"/>
        <v>0</v>
      </c>
      <c r="M75" s="196"/>
      <c r="N75" s="29">
        <f t="shared" si="9"/>
        <v>21828.888888888891</v>
      </c>
      <c r="O75" s="30"/>
      <c r="P75" s="43"/>
      <c r="Q75" s="44"/>
      <c r="R75" s="33"/>
      <c r="V75" s="45"/>
      <c r="W75" s="7"/>
      <c r="X75" s="7"/>
      <c r="Y75" s="46"/>
      <c r="Z75" s="7"/>
      <c r="AA75" s="7"/>
      <c r="AC75" s="7"/>
    </row>
    <row r="76" spans="1:29">
      <c r="A76" s="18">
        <v>44439</v>
      </c>
      <c r="B76" s="37">
        <f t="shared" si="0"/>
        <v>0</v>
      </c>
      <c r="C76" s="29"/>
      <c r="D76" s="29">
        <v>0</v>
      </c>
      <c r="E76" s="38"/>
      <c r="F76" s="39"/>
      <c r="G76" s="47"/>
      <c r="H76" s="24">
        <f t="shared" si="1"/>
        <v>1853493.3333333333</v>
      </c>
      <c r="I76" s="41">
        <f t="shared" si="3"/>
        <v>1840000</v>
      </c>
      <c r="J76" s="29">
        <f t="shared" si="4"/>
        <v>13493.333333333334</v>
      </c>
      <c r="K76" s="42"/>
      <c r="L76" s="33">
        <f t="shared" si="2"/>
        <v>0</v>
      </c>
      <c r="M76" s="196"/>
      <c r="N76" s="29">
        <f t="shared" si="10"/>
        <v>13493.333333333334</v>
      </c>
      <c r="O76" s="30"/>
      <c r="P76" s="43"/>
      <c r="Q76" s="44"/>
      <c r="R76" s="33"/>
      <c r="V76" s="45"/>
      <c r="W76" s="7"/>
      <c r="X76" s="7"/>
      <c r="Y76" s="46"/>
      <c r="Z76" s="7">
        <f t="shared" si="15"/>
        <v>0</v>
      </c>
      <c r="AA76" s="7"/>
      <c r="AC76" s="7"/>
    </row>
    <row r="77" spans="1:29">
      <c r="A77" s="18">
        <v>44459</v>
      </c>
      <c r="B77" s="37">
        <f t="shared" si="0"/>
        <v>-74857.777777777781</v>
      </c>
      <c r="C77" s="29">
        <v>-40000</v>
      </c>
      <c r="D77" s="29">
        <f t="shared" ref="D77" si="39">-I75*O$4*(A77-A75)/360</f>
        <v>-34857.777777777781</v>
      </c>
      <c r="E77" s="38"/>
      <c r="F77" s="39"/>
      <c r="G77" s="47"/>
      <c r="H77" s="24">
        <f t="shared" si="1"/>
        <v>1800000</v>
      </c>
      <c r="I77" s="41">
        <f t="shared" si="3"/>
        <v>1800000</v>
      </c>
      <c r="J77" s="29">
        <f t="shared" si="4"/>
        <v>0</v>
      </c>
      <c r="K77" s="42"/>
      <c r="L77" s="33">
        <f t="shared" si="2"/>
        <v>0</v>
      </c>
      <c r="M77" s="196"/>
      <c r="N77" s="29">
        <f t="shared" si="9"/>
        <v>21364.444444444445</v>
      </c>
      <c r="O77" s="30"/>
      <c r="P77" s="43"/>
      <c r="Q77" s="44"/>
      <c r="R77" s="33"/>
      <c r="V77" s="45"/>
      <c r="W77" s="7"/>
      <c r="X77" s="7"/>
      <c r="Y77" s="46"/>
      <c r="Z77" s="7"/>
      <c r="AA77" s="7"/>
      <c r="AC77" s="7"/>
    </row>
    <row r="78" spans="1:29">
      <c r="A78" s="18">
        <v>44469</v>
      </c>
      <c r="B78" s="37">
        <f t="shared" si="0"/>
        <v>0</v>
      </c>
      <c r="C78" s="29"/>
      <c r="D78" s="29">
        <v>0</v>
      </c>
      <c r="E78" s="38"/>
      <c r="F78" s="39"/>
      <c r="G78" s="47"/>
      <c r="H78" s="24">
        <f t="shared" si="1"/>
        <v>1812100</v>
      </c>
      <c r="I78" s="41">
        <f t="shared" si="3"/>
        <v>1800000</v>
      </c>
      <c r="J78" s="29">
        <f t="shared" si="4"/>
        <v>12100</v>
      </c>
      <c r="K78" s="42"/>
      <c r="L78" s="33">
        <f t="shared" si="2"/>
        <v>0</v>
      </c>
      <c r="M78" s="196"/>
      <c r="N78" s="29">
        <f t="shared" si="10"/>
        <v>12100</v>
      </c>
      <c r="O78" s="30"/>
      <c r="P78" s="43"/>
      <c r="Q78" s="44"/>
      <c r="R78" s="33"/>
      <c r="V78" s="45"/>
      <c r="W78" s="7"/>
      <c r="X78" s="7"/>
      <c r="Y78" s="46"/>
      <c r="Z78" s="7">
        <f t="shared" si="15"/>
        <v>0</v>
      </c>
      <c r="AA78" s="7"/>
      <c r="AC78" s="7"/>
    </row>
    <row r="79" spans="1:29">
      <c r="A79" s="18">
        <v>44489</v>
      </c>
      <c r="B79" s="37">
        <f t="shared" si="0"/>
        <v>-73000</v>
      </c>
      <c r="C79" s="29">
        <v>-40000</v>
      </c>
      <c r="D79" s="29">
        <f t="shared" ref="D79" si="40">-I77*O$4*(A79-A77)/360</f>
        <v>-33000</v>
      </c>
      <c r="E79" s="38"/>
      <c r="F79" s="39"/>
      <c r="G79" s="47"/>
      <c r="H79" s="24">
        <f t="shared" si="1"/>
        <v>1760000</v>
      </c>
      <c r="I79" s="41">
        <f t="shared" si="3"/>
        <v>1760000</v>
      </c>
      <c r="J79" s="29">
        <f t="shared" si="4"/>
        <v>0</v>
      </c>
      <c r="K79" s="42"/>
      <c r="L79" s="33">
        <f t="shared" si="2"/>
        <v>0</v>
      </c>
      <c r="M79" s="196"/>
      <c r="N79" s="29">
        <f t="shared" si="9"/>
        <v>20900</v>
      </c>
      <c r="O79" s="30"/>
      <c r="P79" s="43"/>
      <c r="Q79" s="44"/>
      <c r="R79" s="33"/>
      <c r="V79" s="45"/>
      <c r="W79" s="7"/>
      <c r="X79" s="7"/>
      <c r="Y79" s="46"/>
      <c r="Z79" s="7"/>
      <c r="AA79" s="7"/>
      <c r="AC79" s="7"/>
    </row>
    <row r="80" spans="1:29">
      <c r="A80" s="18">
        <v>44500</v>
      </c>
      <c r="B80" s="37">
        <f t="shared" si="0"/>
        <v>0</v>
      </c>
      <c r="C80" s="29"/>
      <c r="D80" s="29">
        <v>0</v>
      </c>
      <c r="E80" s="38"/>
      <c r="F80" s="39"/>
      <c r="G80" s="47"/>
      <c r="H80" s="24">
        <f t="shared" si="1"/>
        <v>1772906.6666666667</v>
      </c>
      <c r="I80" s="41">
        <f t="shared" si="3"/>
        <v>1760000</v>
      </c>
      <c r="J80" s="29">
        <f t="shared" si="4"/>
        <v>12906.666666666666</v>
      </c>
      <c r="K80" s="42"/>
      <c r="L80" s="33">
        <f t="shared" si="2"/>
        <v>0</v>
      </c>
      <c r="M80" s="196"/>
      <c r="N80" s="29">
        <f t="shared" si="10"/>
        <v>12906.666666666666</v>
      </c>
      <c r="O80" s="30"/>
      <c r="P80" s="43"/>
      <c r="Q80" s="44"/>
      <c r="R80" s="33"/>
      <c r="V80" s="45"/>
      <c r="W80" s="7"/>
      <c r="X80" s="7"/>
      <c r="Y80" s="46"/>
      <c r="Z80" s="7">
        <f t="shared" si="15"/>
        <v>0</v>
      </c>
      <c r="AA80" s="7"/>
      <c r="AC80" s="7"/>
    </row>
    <row r="81" spans="1:29">
      <c r="A81" s="18">
        <v>44520</v>
      </c>
      <c r="B81" s="37">
        <f t="shared" si="0"/>
        <v>-73342.222222222219</v>
      </c>
      <c r="C81" s="29">
        <v>-40000</v>
      </c>
      <c r="D81" s="29">
        <f t="shared" ref="D81" si="41">-I79*O$4*(A81-A79)/360</f>
        <v>-33342.222222222219</v>
      </c>
      <c r="E81" s="38"/>
      <c r="F81" s="39"/>
      <c r="G81" s="47"/>
      <c r="H81" s="24">
        <f t="shared" si="1"/>
        <v>1720000</v>
      </c>
      <c r="I81" s="41">
        <f t="shared" si="3"/>
        <v>1720000</v>
      </c>
      <c r="J81" s="29">
        <f t="shared" si="4"/>
        <v>0</v>
      </c>
      <c r="K81" s="42"/>
      <c r="L81" s="33">
        <f t="shared" si="2"/>
        <v>0</v>
      </c>
      <c r="M81" s="196"/>
      <c r="N81" s="29">
        <f t="shared" si="9"/>
        <v>20435.555555555555</v>
      </c>
      <c r="O81" s="30"/>
      <c r="P81" s="43"/>
      <c r="Q81" s="44"/>
      <c r="R81" s="33"/>
      <c r="V81" s="45"/>
      <c r="W81" s="7"/>
      <c r="X81" s="7"/>
      <c r="Y81" s="46"/>
      <c r="Z81" s="7"/>
      <c r="AA81" s="7"/>
      <c r="AC81" s="7"/>
    </row>
    <row r="82" spans="1:29">
      <c r="A82" s="18">
        <v>44530</v>
      </c>
      <c r="B82" s="37">
        <f t="shared" si="0"/>
        <v>0</v>
      </c>
      <c r="C82" s="29"/>
      <c r="D82" s="29">
        <v>0</v>
      </c>
      <c r="E82" s="38"/>
      <c r="F82" s="39"/>
      <c r="G82" s="47"/>
      <c r="H82" s="24">
        <f t="shared" si="1"/>
        <v>1731562.2222222222</v>
      </c>
      <c r="I82" s="41">
        <f t="shared" si="3"/>
        <v>1720000</v>
      </c>
      <c r="J82" s="29">
        <f t="shared" si="4"/>
        <v>11562.222222222223</v>
      </c>
      <c r="K82" s="42"/>
      <c r="L82" s="33">
        <f t="shared" si="2"/>
        <v>0</v>
      </c>
      <c r="M82" s="196"/>
      <c r="N82" s="29">
        <f t="shared" si="10"/>
        <v>11562.222222222223</v>
      </c>
      <c r="O82" s="30"/>
      <c r="P82" s="43"/>
      <c r="Q82" s="44"/>
      <c r="R82" s="33"/>
      <c r="V82" s="45"/>
      <c r="W82" s="7"/>
      <c r="X82" s="7"/>
      <c r="Y82" s="46"/>
      <c r="Z82" s="7">
        <f t="shared" si="15"/>
        <v>0</v>
      </c>
      <c r="AA82" s="7"/>
      <c r="AC82" s="7"/>
    </row>
    <row r="83" spans="1:29">
      <c r="A83" s="18">
        <v>44550</v>
      </c>
      <c r="B83" s="37">
        <f t="shared" si="0"/>
        <v>-71533.333333333328</v>
      </c>
      <c r="C83" s="29">
        <v>-40000</v>
      </c>
      <c r="D83" s="29">
        <f t="shared" ref="D83" si="42">-I81*O$4*(A83-A81)/360</f>
        <v>-31533.333333333332</v>
      </c>
      <c r="E83" s="38"/>
      <c r="F83" s="39"/>
      <c r="G83" s="47"/>
      <c r="H83" s="24">
        <f t="shared" si="1"/>
        <v>1680000</v>
      </c>
      <c r="I83" s="41">
        <f t="shared" si="3"/>
        <v>1680000</v>
      </c>
      <c r="J83" s="29">
        <f t="shared" si="4"/>
        <v>0</v>
      </c>
      <c r="K83" s="42"/>
      <c r="L83" s="33">
        <f t="shared" si="2"/>
        <v>0</v>
      </c>
      <c r="M83" s="196"/>
      <c r="N83" s="29">
        <f t="shared" si="9"/>
        <v>19971.111111111109</v>
      </c>
      <c r="O83" s="30"/>
      <c r="P83" s="43"/>
      <c r="Q83" s="44"/>
      <c r="R83" s="33"/>
      <c r="V83" s="45"/>
      <c r="W83" s="7"/>
      <c r="X83" s="7"/>
      <c r="Y83" s="46"/>
      <c r="Z83" s="7"/>
      <c r="AA83" s="7"/>
      <c r="AC83" s="7"/>
    </row>
    <row r="84" spans="1:29">
      <c r="A84" s="18">
        <v>44561</v>
      </c>
      <c r="B84" s="37">
        <f t="shared" si="0"/>
        <v>0</v>
      </c>
      <c r="C84" s="29"/>
      <c r="D84" s="29">
        <v>0</v>
      </c>
      <c r="E84" s="38"/>
      <c r="F84" s="39"/>
      <c r="G84" s="47"/>
      <c r="H84" s="24">
        <f t="shared" si="1"/>
        <v>1692320</v>
      </c>
      <c r="I84" s="41">
        <f t="shared" si="3"/>
        <v>1680000</v>
      </c>
      <c r="J84" s="29">
        <f t="shared" si="4"/>
        <v>12320</v>
      </c>
      <c r="K84" s="42"/>
      <c r="L84" s="33">
        <f t="shared" si="2"/>
        <v>0</v>
      </c>
      <c r="M84" s="196"/>
      <c r="N84" s="29">
        <f t="shared" si="10"/>
        <v>12320</v>
      </c>
      <c r="O84" s="30"/>
      <c r="P84" s="43"/>
      <c r="Q84" s="44"/>
      <c r="R84" s="33"/>
      <c r="V84" s="45"/>
      <c r="W84" s="7"/>
      <c r="X84" s="7"/>
      <c r="Y84" s="46"/>
      <c r="Z84" s="7">
        <f t="shared" si="15"/>
        <v>0</v>
      </c>
      <c r="AA84" s="7"/>
      <c r="AC84" s="7"/>
    </row>
    <row r="85" spans="1:29">
      <c r="A85" s="18">
        <v>44581</v>
      </c>
      <c r="B85" s="37">
        <f t="shared" si="0"/>
        <v>-71826.666666666672</v>
      </c>
      <c r="C85" s="29">
        <v>-40000</v>
      </c>
      <c r="D85" s="29">
        <f t="shared" ref="D85" si="43">-I83*O$4*(A85-A83)/360</f>
        <v>-31826.666666666668</v>
      </c>
      <c r="E85" s="38"/>
      <c r="F85" s="39"/>
      <c r="G85" s="47"/>
      <c r="H85" s="24">
        <f t="shared" si="1"/>
        <v>1640000</v>
      </c>
      <c r="I85" s="41">
        <f t="shared" si="3"/>
        <v>1640000</v>
      </c>
      <c r="J85" s="29">
        <f t="shared" si="4"/>
        <v>0</v>
      </c>
      <c r="K85" s="42"/>
      <c r="L85" s="33">
        <f t="shared" si="2"/>
        <v>0</v>
      </c>
      <c r="M85" s="196"/>
      <c r="N85" s="29">
        <f t="shared" si="9"/>
        <v>19506.666666666668</v>
      </c>
      <c r="O85" s="30"/>
      <c r="P85" s="43"/>
      <c r="Q85" s="44"/>
      <c r="R85" s="33"/>
      <c r="V85" s="45"/>
      <c r="W85" s="7"/>
      <c r="X85" s="7"/>
      <c r="Y85" s="46"/>
      <c r="Z85" s="7"/>
      <c r="AA85" s="7"/>
      <c r="AC85" s="7"/>
    </row>
    <row r="86" spans="1:29">
      <c r="A86" s="18">
        <v>44592</v>
      </c>
      <c r="B86" s="37">
        <f t="shared" si="0"/>
        <v>0</v>
      </c>
      <c r="C86" s="29"/>
      <c r="D86" s="29">
        <v>0</v>
      </c>
      <c r="E86" s="38"/>
      <c r="F86" s="39"/>
      <c r="G86" s="47"/>
      <c r="H86" s="24">
        <f t="shared" si="1"/>
        <v>1652026.6666666667</v>
      </c>
      <c r="I86" s="41">
        <f t="shared" si="3"/>
        <v>1640000</v>
      </c>
      <c r="J86" s="29">
        <f t="shared" si="4"/>
        <v>12026.666666666666</v>
      </c>
      <c r="K86" s="42"/>
      <c r="L86" s="33">
        <f t="shared" si="2"/>
        <v>0</v>
      </c>
      <c r="M86" s="196"/>
      <c r="N86" s="29">
        <f t="shared" si="10"/>
        <v>12026.666666666666</v>
      </c>
      <c r="O86" s="30"/>
      <c r="P86" s="43"/>
      <c r="Q86" s="44"/>
      <c r="R86" s="33"/>
      <c r="V86" s="45"/>
      <c r="W86" s="7"/>
      <c r="X86" s="7"/>
      <c r="Y86" s="46"/>
      <c r="Z86" s="7">
        <f t="shared" si="15"/>
        <v>0</v>
      </c>
      <c r="AA86" s="7"/>
      <c r="AC86" s="7"/>
    </row>
    <row r="87" spans="1:29">
      <c r="A87" s="18">
        <v>44612</v>
      </c>
      <c r="B87" s="37">
        <f t="shared" si="0"/>
        <v>-71068.888888888891</v>
      </c>
      <c r="C87" s="29">
        <v>-40000</v>
      </c>
      <c r="D87" s="29">
        <f t="shared" ref="D87" si="44">-I85*O$4*(A87-A85)/360</f>
        <v>-31068.888888888891</v>
      </c>
      <c r="E87" s="38"/>
      <c r="F87" s="39"/>
      <c r="G87" s="47"/>
      <c r="H87" s="24">
        <f t="shared" si="1"/>
        <v>1600000</v>
      </c>
      <c r="I87" s="41">
        <f t="shared" ref="I87:I150" si="45">I86+C87</f>
        <v>1600000</v>
      </c>
      <c r="J87" s="29">
        <f t="shared" ref="J87:J150" si="46">J86+N87+D87</f>
        <v>0</v>
      </c>
      <c r="K87" s="42"/>
      <c r="L87" s="33">
        <f t="shared" si="2"/>
        <v>0</v>
      </c>
      <c r="M87" s="196"/>
      <c r="N87" s="29">
        <f t="shared" si="9"/>
        <v>19042.222222222223</v>
      </c>
      <c r="O87" s="30"/>
      <c r="P87" s="43"/>
      <c r="Q87" s="44"/>
      <c r="R87" s="33"/>
      <c r="V87" s="45"/>
      <c r="W87" s="7"/>
      <c r="X87" s="7"/>
      <c r="Y87" s="46"/>
      <c r="Z87" s="7"/>
      <c r="AA87" s="7"/>
      <c r="AC87" s="7"/>
    </row>
    <row r="88" spans="1:29">
      <c r="A88" s="18">
        <v>44620</v>
      </c>
      <c r="B88" s="37">
        <f t="shared" si="0"/>
        <v>0</v>
      </c>
      <c r="C88" s="29"/>
      <c r="D88" s="29">
        <v>0</v>
      </c>
      <c r="E88" s="38"/>
      <c r="F88" s="39"/>
      <c r="G88" s="47"/>
      <c r="H88" s="24">
        <f t="shared" si="1"/>
        <v>1608800</v>
      </c>
      <c r="I88" s="41">
        <f t="shared" si="45"/>
        <v>1600000</v>
      </c>
      <c r="J88" s="29">
        <f t="shared" si="46"/>
        <v>8800</v>
      </c>
      <c r="K88" s="42"/>
      <c r="L88" s="33">
        <f t="shared" si="2"/>
        <v>0</v>
      </c>
      <c r="M88" s="196"/>
      <c r="N88" s="29">
        <f t="shared" si="10"/>
        <v>8800</v>
      </c>
      <c r="O88" s="30"/>
      <c r="P88" s="43"/>
      <c r="Q88" s="44"/>
      <c r="R88" s="33"/>
      <c r="V88" s="45"/>
      <c r="W88" s="7"/>
      <c r="X88" s="7"/>
      <c r="Y88" s="46"/>
      <c r="Z88" s="7">
        <f t="shared" si="15"/>
        <v>0</v>
      </c>
      <c r="AA88" s="7"/>
      <c r="AC88" s="7"/>
    </row>
    <row r="89" spans="1:29">
      <c r="A89" s="18">
        <v>44640</v>
      </c>
      <c r="B89" s="37">
        <f t="shared" si="0"/>
        <v>-67377.777777777781</v>
      </c>
      <c r="C89" s="29">
        <v>-40000</v>
      </c>
      <c r="D89" s="29">
        <f t="shared" ref="D89" si="47">-I87*O$4*(A89-A87)/360</f>
        <v>-27377.777777777777</v>
      </c>
      <c r="E89" s="38"/>
      <c r="F89" s="39"/>
      <c r="G89" s="47"/>
      <c r="H89" s="24">
        <f t="shared" si="1"/>
        <v>1560000</v>
      </c>
      <c r="I89" s="41">
        <f t="shared" si="45"/>
        <v>1560000</v>
      </c>
      <c r="J89" s="29">
        <f t="shared" si="46"/>
        <v>0</v>
      </c>
      <c r="K89" s="42"/>
      <c r="L89" s="33">
        <f t="shared" si="2"/>
        <v>0</v>
      </c>
      <c r="M89" s="196"/>
      <c r="N89" s="29">
        <f t="shared" ref="N89:N152" si="48">I88*O$4*(A89-A88-1)/360</f>
        <v>18577.777777777777</v>
      </c>
      <c r="O89" s="30"/>
      <c r="P89" s="43"/>
      <c r="Q89" s="44"/>
      <c r="R89" s="33"/>
      <c r="V89" s="45"/>
      <c r="W89" s="7"/>
      <c r="X89" s="7"/>
      <c r="Y89" s="46"/>
      <c r="Z89" s="7"/>
      <c r="AA89" s="7"/>
      <c r="AC89" s="7"/>
    </row>
    <row r="90" spans="1:29">
      <c r="A90" s="18">
        <v>44651</v>
      </c>
      <c r="B90" s="37">
        <f t="shared" si="0"/>
        <v>0</v>
      </c>
      <c r="C90" s="29"/>
      <c r="D90" s="29">
        <v>0</v>
      </c>
      <c r="E90" s="38"/>
      <c r="F90" s="39"/>
      <c r="G90" s="47"/>
      <c r="H90" s="24">
        <f t="shared" si="1"/>
        <v>1571440</v>
      </c>
      <c r="I90" s="41">
        <f t="shared" si="45"/>
        <v>1560000</v>
      </c>
      <c r="J90" s="29">
        <f t="shared" si="46"/>
        <v>11440</v>
      </c>
      <c r="K90" s="42"/>
      <c r="L90" s="33">
        <f t="shared" si="2"/>
        <v>0</v>
      </c>
      <c r="M90" s="196"/>
      <c r="N90" s="29">
        <f t="shared" ref="N90:N153" si="49">I89*O$4*(A90-A89+1)/360</f>
        <v>11440</v>
      </c>
      <c r="O90" s="30"/>
      <c r="P90" s="43"/>
      <c r="Q90" s="44"/>
      <c r="R90" s="33"/>
      <c r="V90" s="45"/>
      <c r="W90" s="7"/>
      <c r="X90" s="7"/>
      <c r="Y90" s="46"/>
      <c r="Z90" s="7">
        <f t="shared" si="15"/>
        <v>0</v>
      </c>
      <c r="AA90" s="7"/>
      <c r="AC90" s="7"/>
    </row>
    <row r="91" spans="1:29">
      <c r="A91" s="18">
        <v>44671</v>
      </c>
      <c r="B91" s="37">
        <f t="shared" si="0"/>
        <v>-69553.333333333328</v>
      </c>
      <c r="C91" s="29">
        <v>-40000</v>
      </c>
      <c r="D91" s="29">
        <f t="shared" ref="D91" si="50">-I89*O$4*(A91-A89)/360</f>
        <v>-29553.333333333332</v>
      </c>
      <c r="E91" s="38"/>
      <c r="F91" s="39"/>
      <c r="G91" s="47"/>
      <c r="H91" s="24">
        <f t="shared" si="1"/>
        <v>1520000</v>
      </c>
      <c r="I91" s="41">
        <f t="shared" si="45"/>
        <v>1520000</v>
      </c>
      <c r="J91" s="29">
        <f t="shared" si="46"/>
        <v>0</v>
      </c>
      <c r="K91" s="42"/>
      <c r="L91" s="33">
        <f t="shared" si="2"/>
        <v>0</v>
      </c>
      <c r="M91" s="196"/>
      <c r="N91" s="29">
        <f t="shared" si="48"/>
        <v>18113.333333333332</v>
      </c>
      <c r="O91" s="30"/>
      <c r="P91" s="43"/>
      <c r="Q91" s="44"/>
      <c r="R91" s="33"/>
      <c r="V91" s="45"/>
      <c r="W91" s="7"/>
      <c r="X91" s="7"/>
      <c r="Y91" s="46"/>
      <c r="Z91" s="7"/>
      <c r="AA91" s="7"/>
      <c r="AC91" s="7"/>
    </row>
    <row r="92" spans="1:29">
      <c r="A92" s="18">
        <v>44681</v>
      </c>
      <c r="B92" s="37">
        <f t="shared" si="0"/>
        <v>0</v>
      </c>
      <c r="C92" s="29"/>
      <c r="D92" s="29">
        <v>0</v>
      </c>
      <c r="E92" s="38"/>
      <c r="F92" s="39"/>
      <c r="G92" s="47"/>
      <c r="H92" s="24">
        <f t="shared" si="1"/>
        <v>1530217.7777777778</v>
      </c>
      <c r="I92" s="41">
        <f t="shared" si="45"/>
        <v>1520000</v>
      </c>
      <c r="J92" s="29">
        <f t="shared" si="46"/>
        <v>10217.777777777777</v>
      </c>
      <c r="K92" s="42"/>
      <c r="L92" s="33">
        <f t="shared" si="2"/>
        <v>0</v>
      </c>
      <c r="M92" s="196"/>
      <c r="N92" s="29">
        <f t="shared" si="49"/>
        <v>10217.777777777777</v>
      </c>
      <c r="O92" s="30"/>
      <c r="P92" s="43"/>
      <c r="Q92" s="44"/>
      <c r="R92" s="33"/>
      <c r="V92" s="45"/>
      <c r="W92" s="7"/>
      <c r="X92" s="7"/>
      <c r="Y92" s="46"/>
      <c r="Z92" s="7">
        <f t="shared" si="15"/>
        <v>0</v>
      </c>
      <c r="AA92" s="7"/>
      <c r="AC92" s="7"/>
    </row>
    <row r="93" spans="1:29">
      <c r="A93" s="18">
        <v>44701</v>
      </c>
      <c r="B93" s="37">
        <f t="shared" si="0"/>
        <v>-67866.666666666672</v>
      </c>
      <c r="C93" s="29">
        <v>-40000</v>
      </c>
      <c r="D93" s="29">
        <f t="shared" ref="D93" si="51">-I91*O$4*(A93-A91)/360</f>
        <v>-27866.666666666668</v>
      </c>
      <c r="E93" s="38"/>
      <c r="F93" s="39"/>
      <c r="G93" s="47"/>
      <c r="H93" s="24">
        <f t="shared" si="1"/>
        <v>1480000</v>
      </c>
      <c r="I93" s="41">
        <f t="shared" si="45"/>
        <v>1480000</v>
      </c>
      <c r="J93" s="29">
        <f t="shared" si="46"/>
        <v>0</v>
      </c>
      <c r="K93" s="42"/>
      <c r="L93" s="33">
        <f t="shared" si="2"/>
        <v>0</v>
      </c>
      <c r="M93" s="196"/>
      <c r="N93" s="29">
        <f t="shared" si="48"/>
        <v>17648.888888888891</v>
      </c>
      <c r="O93" s="30"/>
      <c r="P93" s="43"/>
      <c r="Q93" s="44"/>
      <c r="R93" s="33"/>
      <c r="V93" s="45"/>
      <c r="W93" s="7"/>
      <c r="X93" s="7"/>
      <c r="Y93" s="46"/>
      <c r="Z93" s="7"/>
      <c r="AA93" s="7"/>
      <c r="AC93" s="7"/>
    </row>
    <row r="94" spans="1:29">
      <c r="A94" s="18">
        <v>44712</v>
      </c>
      <c r="B94" s="37">
        <f t="shared" si="0"/>
        <v>0</v>
      </c>
      <c r="C94" s="29"/>
      <c r="D94" s="29">
        <v>0</v>
      </c>
      <c r="E94" s="38"/>
      <c r="F94" s="39"/>
      <c r="G94" s="47"/>
      <c r="H94" s="24">
        <f t="shared" si="1"/>
        <v>1490853.3333333333</v>
      </c>
      <c r="I94" s="41">
        <f t="shared" si="45"/>
        <v>1480000</v>
      </c>
      <c r="J94" s="29">
        <f t="shared" si="46"/>
        <v>10853.333333333334</v>
      </c>
      <c r="K94" s="42"/>
      <c r="L94" s="33">
        <f t="shared" si="2"/>
        <v>0</v>
      </c>
      <c r="M94" s="196"/>
      <c r="N94" s="29">
        <f t="shared" si="49"/>
        <v>10853.333333333334</v>
      </c>
      <c r="O94" s="30"/>
      <c r="P94" s="43"/>
      <c r="Q94" s="44"/>
      <c r="R94" s="33"/>
      <c r="V94" s="45"/>
      <c r="W94" s="7"/>
      <c r="X94" s="7"/>
      <c r="Y94" s="46"/>
      <c r="Z94" s="7">
        <f t="shared" ref="Z94:Z156" si="52">M94+M93</f>
        <v>0</v>
      </c>
      <c r="AA94" s="7"/>
      <c r="AC94" s="7"/>
    </row>
    <row r="95" spans="1:29">
      <c r="A95" s="18">
        <v>44732</v>
      </c>
      <c r="B95" s="37">
        <f t="shared" si="0"/>
        <v>-68037.777777777781</v>
      </c>
      <c r="C95" s="29">
        <v>-40000</v>
      </c>
      <c r="D95" s="29">
        <f t="shared" ref="D95" si="53">-I93*O$4*(A95-A93)/360</f>
        <v>-28037.777777777777</v>
      </c>
      <c r="E95" s="38"/>
      <c r="F95" s="39"/>
      <c r="G95" s="47"/>
      <c r="H95" s="24">
        <f t="shared" si="1"/>
        <v>1440000</v>
      </c>
      <c r="I95" s="41">
        <f t="shared" si="45"/>
        <v>1440000</v>
      </c>
      <c r="J95" s="29">
        <f t="shared" si="46"/>
        <v>0</v>
      </c>
      <c r="K95" s="42"/>
      <c r="L95" s="33">
        <f t="shared" si="2"/>
        <v>0</v>
      </c>
      <c r="M95" s="196"/>
      <c r="N95" s="29">
        <f t="shared" si="48"/>
        <v>17184.444444444445</v>
      </c>
      <c r="O95" s="30"/>
      <c r="P95" s="43"/>
      <c r="Q95" s="44"/>
      <c r="R95" s="33"/>
      <c r="V95" s="45"/>
      <c r="W95" s="7"/>
      <c r="X95" s="7"/>
      <c r="Y95" s="46"/>
      <c r="Z95" s="7"/>
      <c r="AA95" s="7"/>
      <c r="AC95" s="7"/>
    </row>
    <row r="96" spans="1:29">
      <c r="A96" s="18">
        <v>44742</v>
      </c>
      <c r="B96" s="37">
        <f t="shared" si="0"/>
        <v>0</v>
      </c>
      <c r="C96" s="29"/>
      <c r="D96" s="29">
        <v>0</v>
      </c>
      <c r="E96" s="38"/>
      <c r="F96" s="39"/>
      <c r="G96" s="47"/>
      <c r="H96" s="24">
        <f t="shared" si="1"/>
        <v>1449680</v>
      </c>
      <c r="I96" s="41">
        <f t="shared" si="45"/>
        <v>1440000</v>
      </c>
      <c r="J96" s="29">
        <f t="shared" si="46"/>
        <v>9680</v>
      </c>
      <c r="K96" s="42"/>
      <c r="L96" s="33">
        <f t="shared" si="2"/>
        <v>0</v>
      </c>
      <c r="M96" s="196"/>
      <c r="N96" s="29">
        <f t="shared" si="49"/>
        <v>9680</v>
      </c>
      <c r="O96" s="30"/>
      <c r="P96" s="43"/>
      <c r="Q96" s="44"/>
      <c r="R96" s="33"/>
      <c r="V96" s="45"/>
      <c r="W96" s="7"/>
      <c r="X96" s="7"/>
      <c r="Y96" s="46"/>
      <c r="Z96" s="7">
        <f t="shared" si="52"/>
        <v>0</v>
      </c>
      <c r="AA96" s="7"/>
      <c r="AC96" s="7"/>
    </row>
    <row r="97" spans="1:29">
      <c r="A97" s="18">
        <v>44762</v>
      </c>
      <c r="B97" s="37">
        <f t="shared" si="0"/>
        <v>-66400</v>
      </c>
      <c r="C97" s="29">
        <v>-40000</v>
      </c>
      <c r="D97" s="29">
        <f t="shared" ref="D97" si="54">-I95*O$4*(A97-A95)/360</f>
        <v>-26400</v>
      </c>
      <c r="E97" s="38"/>
      <c r="F97" s="39"/>
      <c r="G97" s="47"/>
      <c r="H97" s="24">
        <f t="shared" si="1"/>
        <v>1400000</v>
      </c>
      <c r="I97" s="41">
        <f t="shared" si="45"/>
        <v>1400000</v>
      </c>
      <c r="J97" s="29">
        <f t="shared" si="46"/>
        <v>0</v>
      </c>
      <c r="K97" s="42"/>
      <c r="L97" s="33">
        <f t="shared" si="2"/>
        <v>0</v>
      </c>
      <c r="M97" s="196"/>
      <c r="N97" s="29">
        <f t="shared" si="48"/>
        <v>16720</v>
      </c>
      <c r="O97" s="30"/>
      <c r="P97" s="43"/>
      <c r="Q97" s="44"/>
      <c r="R97" s="33"/>
      <c r="V97" s="45"/>
      <c r="W97" s="7"/>
      <c r="X97" s="7"/>
      <c r="Y97" s="46"/>
      <c r="Z97" s="7"/>
      <c r="AA97" s="7"/>
      <c r="AC97" s="7"/>
    </row>
    <row r="98" spans="1:29">
      <c r="A98" s="18">
        <v>44773</v>
      </c>
      <c r="B98" s="37">
        <f t="shared" si="0"/>
        <v>0</v>
      </c>
      <c r="C98" s="29"/>
      <c r="D98" s="29">
        <v>0</v>
      </c>
      <c r="E98" s="38"/>
      <c r="F98" s="39"/>
      <c r="G98" s="47"/>
      <c r="H98" s="24">
        <f t="shared" si="1"/>
        <v>1410266.6666666667</v>
      </c>
      <c r="I98" s="41">
        <f t="shared" si="45"/>
        <v>1400000</v>
      </c>
      <c r="J98" s="29">
        <f t="shared" si="46"/>
        <v>10266.666666666666</v>
      </c>
      <c r="K98" s="42"/>
      <c r="L98" s="33">
        <f t="shared" si="2"/>
        <v>0</v>
      </c>
      <c r="M98" s="196"/>
      <c r="N98" s="29">
        <f t="shared" si="49"/>
        <v>10266.666666666666</v>
      </c>
      <c r="O98" s="30"/>
      <c r="P98" s="43"/>
      <c r="Q98" s="44"/>
      <c r="R98" s="33"/>
      <c r="V98" s="45"/>
      <c r="W98" s="7"/>
      <c r="X98" s="7"/>
      <c r="Y98" s="46"/>
      <c r="Z98" s="7">
        <f t="shared" si="52"/>
        <v>0</v>
      </c>
      <c r="AA98" s="7"/>
      <c r="AC98" s="7"/>
    </row>
    <row r="99" spans="1:29">
      <c r="A99" s="18">
        <v>44793</v>
      </c>
      <c r="B99" s="37">
        <f t="shared" si="0"/>
        <v>-66522.222222222219</v>
      </c>
      <c r="C99" s="29">
        <v>-40000</v>
      </c>
      <c r="D99" s="29">
        <f t="shared" ref="D99" si="55">-I97*O$4*(A99-A97)/360</f>
        <v>-26522.222222222223</v>
      </c>
      <c r="E99" s="38"/>
      <c r="F99" s="39"/>
      <c r="G99" s="47"/>
      <c r="H99" s="24">
        <f t="shared" si="1"/>
        <v>1360000</v>
      </c>
      <c r="I99" s="41">
        <f t="shared" si="45"/>
        <v>1360000</v>
      </c>
      <c r="J99" s="29">
        <f t="shared" si="46"/>
        <v>0</v>
      </c>
      <c r="K99" s="42"/>
      <c r="L99" s="33">
        <f t="shared" si="2"/>
        <v>0</v>
      </c>
      <c r="M99" s="196"/>
      <c r="N99" s="29">
        <f t="shared" si="48"/>
        <v>16255.555555555555</v>
      </c>
      <c r="O99" s="30"/>
      <c r="P99" s="43"/>
      <c r="Q99" s="44"/>
      <c r="R99" s="33"/>
      <c r="V99" s="45"/>
      <c r="W99" s="7"/>
      <c r="X99" s="7"/>
      <c r="Y99" s="46"/>
      <c r="Z99" s="7"/>
      <c r="AA99" s="7"/>
      <c r="AC99" s="7"/>
    </row>
    <row r="100" spans="1:29">
      <c r="A100" s="18">
        <v>44804</v>
      </c>
      <c r="B100" s="37">
        <f t="shared" si="0"/>
        <v>0</v>
      </c>
      <c r="C100" s="29"/>
      <c r="D100" s="29">
        <v>0</v>
      </c>
      <c r="E100" s="38"/>
      <c r="F100" s="39"/>
      <c r="G100" s="47"/>
      <c r="H100" s="24">
        <f t="shared" si="1"/>
        <v>1369973.3333333333</v>
      </c>
      <c r="I100" s="41">
        <f t="shared" si="45"/>
        <v>1360000</v>
      </c>
      <c r="J100" s="29">
        <f t="shared" si="46"/>
        <v>9973.3333333333339</v>
      </c>
      <c r="K100" s="42"/>
      <c r="L100" s="33">
        <f t="shared" si="2"/>
        <v>0</v>
      </c>
      <c r="M100" s="196"/>
      <c r="N100" s="29">
        <f t="shared" si="49"/>
        <v>9973.3333333333339</v>
      </c>
      <c r="O100" s="30"/>
      <c r="P100" s="43"/>
      <c r="Q100" s="44"/>
      <c r="R100" s="33"/>
      <c r="V100" s="45"/>
      <c r="W100" s="7"/>
      <c r="X100" s="7"/>
      <c r="Y100" s="46"/>
      <c r="Z100" s="7">
        <f t="shared" si="52"/>
        <v>0</v>
      </c>
      <c r="AA100" s="7"/>
      <c r="AC100" s="7"/>
    </row>
    <row r="101" spans="1:29">
      <c r="A101" s="18">
        <v>44824</v>
      </c>
      <c r="B101" s="37">
        <f t="shared" si="0"/>
        <v>-65764.444444444438</v>
      </c>
      <c r="C101" s="29">
        <v>-40000</v>
      </c>
      <c r="D101" s="29">
        <f t="shared" ref="D101" si="56">-I99*O$4*(A101-A99)/360</f>
        <v>-25764.444444444445</v>
      </c>
      <c r="E101" s="38"/>
      <c r="F101" s="39"/>
      <c r="G101" s="47"/>
      <c r="H101" s="24">
        <f t="shared" si="1"/>
        <v>1320000</v>
      </c>
      <c r="I101" s="41">
        <f t="shared" si="45"/>
        <v>1320000</v>
      </c>
      <c r="J101" s="29">
        <f t="shared" si="46"/>
        <v>0</v>
      </c>
      <c r="K101" s="42"/>
      <c r="L101" s="33">
        <f t="shared" si="2"/>
        <v>0</v>
      </c>
      <c r="M101" s="196"/>
      <c r="N101" s="29">
        <f t="shared" si="48"/>
        <v>15791.111111111111</v>
      </c>
      <c r="O101" s="30"/>
      <c r="P101" s="43"/>
      <c r="Q101" s="44"/>
      <c r="R101" s="33"/>
      <c r="V101" s="45"/>
      <c r="W101" s="7"/>
      <c r="X101" s="7"/>
      <c r="Y101" s="46"/>
      <c r="Z101" s="7"/>
      <c r="AA101" s="7"/>
      <c r="AC101" s="7"/>
    </row>
    <row r="102" spans="1:29">
      <c r="A102" s="18">
        <v>44834</v>
      </c>
      <c r="B102" s="37">
        <f t="shared" si="0"/>
        <v>0</v>
      </c>
      <c r="C102" s="29"/>
      <c r="D102" s="29">
        <v>0</v>
      </c>
      <c r="E102" s="38"/>
      <c r="F102" s="39"/>
      <c r="G102" s="47"/>
      <c r="H102" s="24">
        <f t="shared" si="1"/>
        <v>1328873.3333333333</v>
      </c>
      <c r="I102" s="41">
        <f t="shared" si="45"/>
        <v>1320000</v>
      </c>
      <c r="J102" s="29">
        <f t="shared" si="46"/>
        <v>8873.3333333333339</v>
      </c>
      <c r="K102" s="42"/>
      <c r="L102" s="33">
        <f t="shared" si="2"/>
        <v>0</v>
      </c>
      <c r="M102" s="196"/>
      <c r="N102" s="29">
        <f t="shared" si="49"/>
        <v>8873.3333333333339</v>
      </c>
      <c r="O102" s="30"/>
      <c r="P102" s="43"/>
      <c r="Q102" s="44"/>
      <c r="R102" s="33"/>
      <c r="V102" s="45"/>
      <c r="W102" s="7"/>
      <c r="X102" s="7"/>
      <c r="Y102" s="46"/>
      <c r="Z102" s="7">
        <f t="shared" si="52"/>
        <v>0</v>
      </c>
      <c r="AA102" s="7"/>
      <c r="AC102" s="7"/>
    </row>
    <row r="103" spans="1:29">
      <c r="A103" s="18">
        <v>44854</v>
      </c>
      <c r="B103" s="37">
        <f t="shared" si="0"/>
        <v>-64200</v>
      </c>
      <c r="C103" s="29">
        <v>-40000</v>
      </c>
      <c r="D103" s="29">
        <f t="shared" ref="D103" si="57">-I101*O$4*(A103-A101)/360</f>
        <v>-24200</v>
      </c>
      <c r="E103" s="38"/>
      <c r="F103" s="39"/>
      <c r="G103" s="47"/>
      <c r="H103" s="24">
        <f t="shared" si="1"/>
        <v>1280000</v>
      </c>
      <c r="I103" s="41">
        <f t="shared" si="45"/>
        <v>1280000</v>
      </c>
      <c r="J103" s="29">
        <f t="shared" si="46"/>
        <v>0</v>
      </c>
      <c r="K103" s="42"/>
      <c r="L103" s="33">
        <f t="shared" si="2"/>
        <v>0</v>
      </c>
      <c r="M103" s="196"/>
      <c r="N103" s="29">
        <f t="shared" si="48"/>
        <v>15326.666666666666</v>
      </c>
      <c r="O103" s="30"/>
      <c r="P103" s="43"/>
      <c r="Q103" s="44"/>
      <c r="R103" s="33"/>
      <c r="V103" s="45"/>
      <c r="W103" s="7"/>
      <c r="X103" s="7"/>
      <c r="Y103" s="46"/>
      <c r="Z103" s="7"/>
      <c r="AA103" s="7"/>
      <c r="AC103" s="7"/>
    </row>
    <row r="104" spans="1:29">
      <c r="A104" s="18">
        <v>44865</v>
      </c>
      <c r="B104" s="37">
        <f t="shared" si="0"/>
        <v>0</v>
      </c>
      <c r="C104" s="29"/>
      <c r="D104" s="29">
        <v>0</v>
      </c>
      <c r="E104" s="38"/>
      <c r="F104" s="39"/>
      <c r="G104" s="47"/>
      <c r="H104" s="24">
        <f t="shared" si="1"/>
        <v>1289386.6666666667</v>
      </c>
      <c r="I104" s="41">
        <f t="shared" si="45"/>
        <v>1280000</v>
      </c>
      <c r="J104" s="29">
        <f t="shared" si="46"/>
        <v>9386.6666666666661</v>
      </c>
      <c r="K104" s="42"/>
      <c r="L104" s="33">
        <f t="shared" si="2"/>
        <v>0</v>
      </c>
      <c r="M104" s="196"/>
      <c r="N104" s="29">
        <f t="shared" si="49"/>
        <v>9386.6666666666661</v>
      </c>
      <c r="O104" s="30"/>
      <c r="P104" s="43"/>
      <c r="Q104" s="44"/>
      <c r="R104" s="33"/>
      <c r="V104" s="45"/>
      <c r="W104" s="7"/>
      <c r="X104" s="7"/>
      <c r="Y104" s="46"/>
      <c r="Z104" s="7">
        <f t="shared" si="52"/>
        <v>0</v>
      </c>
      <c r="AA104" s="7"/>
      <c r="AC104" s="7"/>
    </row>
    <row r="105" spans="1:29">
      <c r="A105" s="18">
        <v>44885</v>
      </c>
      <c r="B105" s="37">
        <f t="shared" si="0"/>
        <v>-64248.888888888891</v>
      </c>
      <c r="C105" s="29">
        <v>-40000</v>
      </c>
      <c r="D105" s="29">
        <f t="shared" ref="D105" si="58">-I103*O$4*(A105-A103)/360</f>
        <v>-24248.888888888891</v>
      </c>
      <c r="E105" s="38"/>
      <c r="F105" s="39"/>
      <c r="G105" s="47"/>
      <c r="H105" s="24">
        <f t="shared" si="1"/>
        <v>1240000</v>
      </c>
      <c r="I105" s="41">
        <f t="shared" si="45"/>
        <v>1240000</v>
      </c>
      <c r="J105" s="29">
        <f t="shared" si="46"/>
        <v>0</v>
      </c>
      <c r="K105" s="42"/>
      <c r="L105" s="33">
        <f t="shared" si="2"/>
        <v>0</v>
      </c>
      <c r="M105" s="196"/>
      <c r="N105" s="29">
        <f t="shared" si="48"/>
        <v>14862.222222222223</v>
      </c>
      <c r="O105" s="30"/>
      <c r="P105" s="43"/>
      <c r="Q105" s="44"/>
      <c r="R105" s="33"/>
      <c r="V105" s="45"/>
      <c r="W105" s="7"/>
      <c r="X105" s="7"/>
      <c r="Y105" s="46"/>
      <c r="Z105" s="7"/>
      <c r="AA105" s="7"/>
      <c r="AC105" s="7"/>
    </row>
    <row r="106" spans="1:29">
      <c r="A106" s="18">
        <v>44895</v>
      </c>
      <c r="B106" s="37">
        <f t="shared" si="0"/>
        <v>0</v>
      </c>
      <c r="C106" s="29"/>
      <c r="D106" s="29">
        <v>0</v>
      </c>
      <c r="E106" s="38"/>
      <c r="F106" s="39"/>
      <c r="G106" s="47"/>
      <c r="H106" s="24">
        <f t="shared" si="1"/>
        <v>1248335.5555555555</v>
      </c>
      <c r="I106" s="41">
        <f t="shared" si="45"/>
        <v>1240000</v>
      </c>
      <c r="J106" s="29">
        <f t="shared" si="46"/>
        <v>8335.5555555555547</v>
      </c>
      <c r="K106" s="42"/>
      <c r="L106" s="33">
        <f t="shared" si="2"/>
        <v>0</v>
      </c>
      <c r="M106" s="196"/>
      <c r="N106" s="29">
        <f t="shared" si="49"/>
        <v>8335.5555555555547</v>
      </c>
      <c r="O106" s="30"/>
      <c r="P106" s="43"/>
      <c r="Q106" s="44"/>
      <c r="R106" s="33"/>
      <c r="V106" s="45"/>
      <c r="W106" s="7"/>
      <c r="X106" s="7"/>
      <c r="Y106" s="46"/>
      <c r="Z106" s="7">
        <f t="shared" si="52"/>
        <v>0</v>
      </c>
      <c r="AA106" s="7"/>
      <c r="AC106" s="7"/>
    </row>
    <row r="107" spans="1:29">
      <c r="A107" s="18">
        <v>44915</v>
      </c>
      <c r="B107" s="37">
        <f t="shared" si="0"/>
        <v>-62733.333333333328</v>
      </c>
      <c r="C107" s="29">
        <v>-40000</v>
      </c>
      <c r="D107" s="29">
        <f t="shared" ref="D107" si="59">-I105*O$4*(A107-A105)/360</f>
        <v>-22733.333333333332</v>
      </c>
      <c r="E107" s="38"/>
      <c r="F107" s="39"/>
      <c r="G107" s="47"/>
      <c r="H107" s="24">
        <f t="shared" si="1"/>
        <v>1200000</v>
      </c>
      <c r="I107" s="41">
        <f t="shared" si="45"/>
        <v>1200000</v>
      </c>
      <c r="J107" s="29">
        <f t="shared" si="46"/>
        <v>0</v>
      </c>
      <c r="K107" s="42"/>
      <c r="L107" s="33">
        <f t="shared" si="2"/>
        <v>0</v>
      </c>
      <c r="M107" s="196"/>
      <c r="N107" s="29">
        <f t="shared" si="48"/>
        <v>14397.777777777777</v>
      </c>
      <c r="O107" s="30"/>
      <c r="P107" s="43"/>
      <c r="Q107" s="44"/>
      <c r="R107" s="33"/>
      <c r="V107" s="45"/>
      <c r="W107" s="7"/>
      <c r="X107" s="7"/>
      <c r="Y107" s="46"/>
      <c r="Z107" s="7"/>
      <c r="AA107" s="7"/>
      <c r="AC107" s="7"/>
    </row>
    <row r="108" spans="1:29">
      <c r="A108" s="18">
        <v>44926</v>
      </c>
      <c r="B108" s="37">
        <f t="shared" si="0"/>
        <v>0</v>
      </c>
      <c r="C108" s="29"/>
      <c r="D108" s="29">
        <v>0</v>
      </c>
      <c r="E108" s="38"/>
      <c r="F108" s="39"/>
      <c r="G108" s="47"/>
      <c r="H108" s="24">
        <f t="shared" si="1"/>
        <v>1208800</v>
      </c>
      <c r="I108" s="41">
        <f t="shared" si="45"/>
        <v>1200000</v>
      </c>
      <c r="J108" s="29">
        <f t="shared" si="46"/>
        <v>8800</v>
      </c>
      <c r="K108" s="42"/>
      <c r="L108" s="33">
        <f t="shared" si="2"/>
        <v>0</v>
      </c>
      <c r="M108" s="196"/>
      <c r="N108" s="29">
        <f t="shared" si="49"/>
        <v>8800</v>
      </c>
      <c r="O108" s="30"/>
      <c r="P108" s="43"/>
      <c r="Q108" s="44"/>
      <c r="R108" s="33"/>
      <c r="V108" s="45"/>
      <c r="W108" s="7"/>
      <c r="X108" s="7"/>
      <c r="Y108" s="46"/>
      <c r="Z108" s="7">
        <f t="shared" si="52"/>
        <v>0</v>
      </c>
      <c r="AA108" s="7"/>
      <c r="AC108" s="7"/>
    </row>
    <row r="109" spans="1:29">
      <c r="A109" s="18">
        <v>44946</v>
      </c>
      <c r="B109" s="37">
        <f t="shared" si="0"/>
        <v>-62733.333333333328</v>
      </c>
      <c r="C109" s="29">
        <v>-40000</v>
      </c>
      <c r="D109" s="29">
        <f t="shared" ref="D109" si="60">-I107*O$4*(A109-A107)/360</f>
        <v>-22733.333333333332</v>
      </c>
      <c r="E109" s="38"/>
      <c r="F109" s="39"/>
      <c r="G109" s="47"/>
      <c r="H109" s="24">
        <f t="shared" si="1"/>
        <v>1160000</v>
      </c>
      <c r="I109" s="41">
        <f t="shared" si="45"/>
        <v>1160000</v>
      </c>
      <c r="J109" s="29">
        <f t="shared" si="46"/>
        <v>0</v>
      </c>
      <c r="K109" s="42"/>
      <c r="L109" s="33">
        <f t="shared" si="2"/>
        <v>0</v>
      </c>
      <c r="M109" s="196"/>
      <c r="N109" s="29">
        <f t="shared" si="48"/>
        <v>13933.333333333334</v>
      </c>
      <c r="O109" s="30"/>
      <c r="P109" s="43"/>
      <c r="Q109" s="44"/>
      <c r="R109" s="33"/>
      <c r="V109" s="45"/>
      <c r="W109" s="7"/>
      <c r="X109" s="7"/>
      <c r="Y109" s="46"/>
      <c r="Z109" s="7"/>
      <c r="AA109" s="7"/>
      <c r="AC109" s="7"/>
    </row>
    <row r="110" spans="1:29">
      <c r="A110" s="18">
        <v>44957</v>
      </c>
      <c r="B110" s="37">
        <f t="shared" si="0"/>
        <v>0</v>
      </c>
      <c r="C110" s="29"/>
      <c r="D110" s="29">
        <v>0</v>
      </c>
      <c r="E110" s="38"/>
      <c r="F110" s="39"/>
      <c r="G110" s="47"/>
      <c r="H110" s="24">
        <f t="shared" si="1"/>
        <v>1168506.6666666667</v>
      </c>
      <c r="I110" s="41">
        <f t="shared" si="45"/>
        <v>1160000</v>
      </c>
      <c r="J110" s="29">
        <f t="shared" si="46"/>
        <v>8506.6666666666661</v>
      </c>
      <c r="K110" s="42"/>
      <c r="L110" s="33">
        <f t="shared" si="2"/>
        <v>0</v>
      </c>
      <c r="M110" s="196"/>
      <c r="N110" s="29">
        <f t="shared" si="49"/>
        <v>8506.6666666666661</v>
      </c>
      <c r="O110" s="30"/>
      <c r="P110" s="43"/>
      <c r="Q110" s="44"/>
      <c r="R110" s="33"/>
      <c r="V110" s="45"/>
      <c r="W110" s="7"/>
      <c r="X110" s="7"/>
      <c r="Y110" s="46"/>
      <c r="Z110" s="7">
        <f t="shared" si="52"/>
        <v>0</v>
      </c>
      <c r="AA110" s="7"/>
      <c r="AC110" s="7"/>
    </row>
    <row r="111" spans="1:29">
      <c r="A111" s="18">
        <v>44977</v>
      </c>
      <c r="B111" s="37">
        <f t="shared" si="0"/>
        <v>-61975.555555555555</v>
      </c>
      <c r="C111" s="29">
        <v>-40000</v>
      </c>
      <c r="D111" s="29">
        <f t="shared" ref="D111" si="61">-I109*O$4*(A111-A109)/360</f>
        <v>-21975.555555555555</v>
      </c>
      <c r="E111" s="38"/>
      <c r="F111" s="39"/>
      <c r="G111" s="47"/>
      <c r="H111" s="24">
        <f t="shared" si="1"/>
        <v>1120000</v>
      </c>
      <c r="I111" s="41">
        <f t="shared" si="45"/>
        <v>1120000</v>
      </c>
      <c r="J111" s="29">
        <f t="shared" si="46"/>
        <v>0</v>
      </c>
      <c r="K111" s="42"/>
      <c r="L111" s="33">
        <f t="shared" si="2"/>
        <v>0</v>
      </c>
      <c r="M111" s="196"/>
      <c r="N111" s="29">
        <f t="shared" si="48"/>
        <v>13468.888888888889</v>
      </c>
      <c r="O111" s="30"/>
      <c r="P111" s="43"/>
      <c r="Q111" s="44"/>
      <c r="R111" s="33"/>
      <c r="V111" s="45"/>
      <c r="W111" s="7"/>
      <c r="X111" s="7"/>
      <c r="Y111" s="46"/>
      <c r="Z111" s="7"/>
      <c r="AA111" s="7"/>
      <c r="AC111" s="7"/>
    </row>
    <row r="112" spans="1:29">
      <c r="A112" s="18">
        <v>44985</v>
      </c>
      <c r="B112" s="37">
        <f t="shared" si="0"/>
        <v>0</v>
      </c>
      <c r="C112" s="29"/>
      <c r="D112" s="29">
        <v>0</v>
      </c>
      <c r="E112" s="38"/>
      <c r="F112" s="39"/>
      <c r="G112" s="47"/>
      <c r="H112" s="24">
        <f t="shared" si="1"/>
        <v>1126160</v>
      </c>
      <c r="I112" s="41">
        <f t="shared" si="45"/>
        <v>1120000</v>
      </c>
      <c r="J112" s="29">
        <f t="shared" si="46"/>
        <v>6160</v>
      </c>
      <c r="K112" s="42"/>
      <c r="L112" s="33">
        <f t="shared" si="2"/>
        <v>0</v>
      </c>
      <c r="M112" s="196"/>
      <c r="N112" s="29">
        <f t="shared" si="49"/>
        <v>6160</v>
      </c>
      <c r="O112" s="30"/>
      <c r="P112" s="43"/>
      <c r="Q112" s="44"/>
      <c r="R112" s="33"/>
      <c r="V112" s="45"/>
      <c r="W112" s="7"/>
      <c r="X112" s="7"/>
      <c r="Y112" s="46"/>
      <c r="Z112" s="7">
        <f t="shared" si="52"/>
        <v>0</v>
      </c>
      <c r="AA112" s="7"/>
      <c r="AC112" s="7"/>
    </row>
    <row r="113" spans="1:29">
      <c r="A113" s="18">
        <v>45005</v>
      </c>
      <c r="B113" s="37">
        <f t="shared" si="0"/>
        <v>-59164.444444444445</v>
      </c>
      <c r="C113" s="29">
        <v>-40000</v>
      </c>
      <c r="D113" s="29">
        <f t="shared" ref="D113" si="62">-I111*O$4*(A113-A111)/360</f>
        <v>-19164.444444444445</v>
      </c>
      <c r="E113" s="38"/>
      <c r="F113" s="39"/>
      <c r="G113" s="47"/>
      <c r="H113" s="24">
        <f t="shared" si="1"/>
        <v>1080000</v>
      </c>
      <c r="I113" s="41">
        <f t="shared" si="45"/>
        <v>1080000</v>
      </c>
      <c r="J113" s="29">
        <f t="shared" si="46"/>
        <v>0</v>
      </c>
      <c r="K113" s="42"/>
      <c r="L113" s="33">
        <f t="shared" si="2"/>
        <v>0</v>
      </c>
      <c r="M113" s="196"/>
      <c r="N113" s="29">
        <f t="shared" si="48"/>
        <v>13004.444444444445</v>
      </c>
      <c r="O113" s="30"/>
      <c r="P113" s="43"/>
      <c r="Q113" s="44"/>
      <c r="R113" s="33"/>
      <c r="V113" s="45"/>
      <c r="W113" s="7"/>
      <c r="X113" s="7"/>
      <c r="Y113" s="46"/>
      <c r="Z113" s="7"/>
      <c r="AA113" s="7"/>
      <c r="AC113" s="7"/>
    </row>
    <row r="114" spans="1:29">
      <c r="A114" s="18">
        <v>45016</v>
      </c>
      <c r="B114" s="37">
        <f t="shared" si="0"/>
        <v>0</v>
      </c>
      <c r="C114" s="29"/>
      <c r="D114" s="29">
        <v>0</v>
      </c>
      <c r="E114" s="38"/>
      <c r="F114" s="39"/>
      <c r="G114" s="47"/>
      <c r="H114" s="24">
        <f t="shared" si="1"/>
        <v>1087920</v>
      </c>
      <c r="I114" s="41">
        <f t="shared" si="45"/>
        <v>1080000</v>
      </c>
      <c r="J114" s="29">
        <f t="shared" si="46"/>
        <v>7920</v>
      </c>
      <c r="K114" s="42"/>
      <c r="L114" s="33">
        <f t="shared" si="2"/>
        <v>0</v>
      </c>
      <c r="M114" s="196"/>
      <c r="N114" s="29">
        <f t="shared" si="49"/>
        <v>7920</v>
      </c>
      <c r="O114" s="30"/>
      <c r="P114" s="43"/>
      <c r="Q114" s="44"/>
      <c r="R114" s="33"/>
      <c r="V114" s="45"/>
      <c r="W114" s="7"/>
      <c r="X114" s="7"/>
      <c r="Y114" s="46"/>
      <c r="Z114" s="7">
        <f t="shared" si="52"/>
        <v>0</v>
      </c>
      <c r="AA114" s="7"/>
      <c r="AC114" s="7"/>
    </row>
    <row r="115" spans="1:29">
      <c r="A115" s="18">
        <v>45036</v>
      </c>
      <c r="B115" s="37">
        <f t="shared" si="0"/>
        <v>-60460</v>
      </c>
      <c r="C115" s="29">
        <v>-40000</v>
      </c>
      <c r="D115" s="29">
        <f t="shared" ref="D115" si="63">-I113*O$4*(A115-A113)/360</f>
        <v>-20460</v>
      </c>
      <c r="E115" s="38"/>
      <c r="F115" s="39"/>
      <c r="G115" s="47"/>
      <c r="H115" s="24">
        <f t="shared" si="1"/>
        <v>1040000</v>
      </c>
      <c r="I115" s="41">
        <f t="shared" si="45"/>
        <v>1040000</v>
      </c>
      <c r="J115" s="29">
        <f t="shared" si="46"/>
        <v>0</v>
      </c>
      <c r="K115" s="42"/>
      <c r="L115" s="33">
        <f t="shared" si="2"/>
        <v>0</v>
      </c>
      <c r="M115" s="196"/>
      <c r="N115" s="29">
        <f t="shared" si="48"/>
        <v>12540</v>
      </c>
      <c r="O115" s="30"/>
      <c r="P115" s="43"/>
      <c r="Q115" s="44"/>
      <c r="R115" s="33"/>
      <c r="V115" s="45"/>
      <c r="W115" s="7"/>
      <c r="X115" s="7"/>
      <c r="Y115" s="46"/>
      <c r="Z115" s="7"/>
      <c r="AA115" s="7"/>
      <c r="AC115" s="7"/>
    </row>
    <row r="116" spans="1:29">
      <c r="A116" s="18">
        <v>45046</v>
      </c>
      <c r="B116" s="37">
        <f t="shared" si="0"/>
        <v>0</v>
      </c>
      <c r="C116" s="29"/>
      <c r="D116" s="29">
        <v>0</v>
      </c>
      <c r="E116" s="38"/>
      <c r="F116" s="39"/>
      <c r="G116" s="47"/>
      <c r="H116" s="24">
        <f t="shared" si="1"/>
        <v>1046991.1111111111</v>
      </c>
      <c r="I116" s="41">
        <f t="shared" si="45"/>
        <v>1040000</v>
      </c>
      <c r="J116" s="29">
        <f t="shared" si="46"/>
        <v>6991.1111111111113</v>
      </c>
      <c r="K116" s="42"/>
      <c r="L116" s="33">
        <f t="shared" si="2"/>
        <v>0</v>
      </c>
      <c r="M116" s="196"/>
      <c r="N116" s="29">
        <f t="shared" si="49"/>
        <v>6991.1111111111113</v>
      </c>
      <c r="O116" s="30"/>
      <c r="P116" s="43"/>
      <c r="Q116" s="44"/>
      <c r="R116" s="33"/>
      <c r="V116" s="45"/>
      <c r="W116" s="7"/>
      <c r="X116" s="7"/>
      <c r="Y116" s="46"/>
      <c r="Z116" s="7">
        <f t="shared" si="52"/>
        <v>0</v>
      </c>
      <c r="AA116" s="7"/>
      <c r="AC116" s="7"/>
    </row>
    <row r="117" spans="1:29">
      <c r="A117" s="18">
        <v>45066</v>
      </c>
      <c r="B117" s="37">
        <f t="shared" si="0"/>
        <v>-59066.666666666672</v>
      </c>
      <c r="C117" s="29">
        <v>-40000</v>
      </c>
      <c r="D117" s="29">
        <f t="shared" ref="D117" si="64">-I115*O$4*(A117-A115)/360</f>
        <v>-19066.666666666668</v>
      </c>
      <c r="E117" s="38"/>
      <c r="F117" s="39"/>
      <c r="G117" s="47"/>
      <c r="H117" s="24">
        <f t="shared" si="1"/>
        <v>1000000</v>
      </c>
      <c r="I117" s="41">
        <f t="shared" si="45"/>
        <v>1000000</v>
      </c>
      <c r="J117" s="29">
        <f t="shared" si="46"/>
        <v>0</v>
      </c>
      <c r="K117" s="42"/>
      <c r="L117" s="33">
        <f t="shared" si="2"/>
        <v>0</v>
      </c>
      <c r="M117" s="196"/>
      <c r="N117" s="29">
        <f t="shared" si="48"/>
        <v>12075.555555555555</v>
      </c>
      <c r="O117" s="30"/>
      <c r="P117" s="43"/>
      <c r="Q117" s="44"/>
      <c r="R117" s="33"/>
      <c r="V117" s="45"/>
      <c r="W117" s="7"/>
      <c r="X117" s="7"/>
      <c r="Y117" s="46"/>
      <c r="Z117" s="7"/>
      <c r="AA117" s="7"/>
      <c r="AC117" s="7"/>
    </row>
    <row r="118" spans="1:29">
      <c r="A118" s="18">
        <v>45077</v>
      </c>
      <c r="B118" s="37">
        <f t="shared" si="0"/>
        <v>0</v>
      </c>
      <c r="C118" s="29"/>
      <c r="D118" s="29">
        <v>0</v>
      </c>
      <c r="E118" s="38"/>
      <c r="F118" s="39"/>
      <c r="G118" s="47"/>
      <c r="H118" s="24">
        <f t="shared" si="1"/>
        <v>1007333.3333333334</v>
      </c>
      <c r="I118" s="41">
        <f t="shared" si="45"/>
        <v>1000000</v>
      </c>
      <c r="J118" s="29">
        <f t="shared" si="46"/>
        <v>7333.333333333333</v>
      </c>
      <c r="K118" s="42"/>
      <c r="L118" s="33">
        <f t="shared" si="2"/>
        <v>0</v>
      </c>
      <c r="M118" s="196"/>
      <c r="N118" s="29">
        <f t="shared" si="49"/>
        <v>7333.333333333333</v>
      </c>
      <c r="O118" s="30"/>
      <c r="P118" s="43"/>
      <c r="Q118" s="44"/>
      <c r="R118" s="33"/>
      <c r="V118" s="45"/>
      <c r="W118" s="7"/>
      <c r="X118" s="7"/>
      <c r="Y118" s="46"/>
      <c r="Z118" s="7">
        <f t="shared" si="52"/>
        <v>0</v>
      </c>
      <c r="AA118" s="7"/>
      <c r="AC118" s="7"/>
    </row>
    <row r="119" spans="1:29">
      <c r="A119" s="18">
        <v>45097</v>
      </c>
      <c r="B119" s="37">
        <f t="shared" si="0"/>
        <v>-58944.444444444445</v>
      </c>
      <c r="C119" s="29">
        <v>-40000</v>
      </c>
      <c r="D119" s="29">
        <f t="shared" ref="D119" si="65">-I117*O$4*(A119-A117)/360</f>
        <v>-18944.444444444445</v>
      </c>
      <c r="E119" s="38"/>
      <c r="F119" s="39"/>
      <c r="G119" s="47"/>
      <c r="H119" s="24">
        <f t="shared" si="1"/>
        <v>960000</v>
      </c>
      <c r="I119" s="41">
        <f t="shared" si="45"/>
        <v>960000</v>
      </c>
      <c r="J119" s="29">
        <f t="shared" si="46"/>
        <v>0</v>
      </c>
      <c r="K119" s="42"/>
      <c r="L119" s="33">
        <f t="shared" si="2"/>
        <v>0</v>
      </c>
      <c r="M119" s="196"/>
      <c r="N119" s="29">
        <f t="shared" si="48"/>
        <v>11611.111111111111</v>
      </c>
      <c r="O119" s="30"/>
      <c r="P119" s="43"/>
      <c r="Q119" s="44"/>
      <c r="R119" s="33"/>
      <c r="V119" s="45"/>
      <c r="W119" s="7"/>
      <c r="X119" s="7"/>
      <c r="Y119" s="46"/>
      <c r="Z119" s="7"/>
      <c r="AA119" s="7"/>
      <c r="AC119" s="7"/>
    </row>
    <row r="120" spans="1:29">
      <c r="A120" s="18">
        <v>45107</v>
      </c>
      <c r="B120" s="37">
        <f t="shared" si="0"/>
        <v>0</v>
      </c>
      <c r="C120" s="29"/>
      <c r="D120" s="29">
        <v>0</v>
      </c>
      <c r="E120" s="38"/>
      <c r="F120" s="39"/>
      <c r="G120" s="47"/>
      <c r="H120" s="24">
        <f t="shared" si="1"/>
        <v>966453.33333333337</v>
      </c>
      <c r="I120" s="41">
        <f t="shared" si="45"/>
        <v>960000</v>
      </c>
      <c r="J120" s="29">
        <f t="shared" si="46"/>
        <v>6453.333333333333</v>
      </c>
      <c r="K120" s="42"/>
      <c r="L120" s="33">
        <f t="shared" si="2"/>
        <v>0</v>
      </c>
      <c r="M120" s="196"/>
      <c r="N120" s="29">
        <f t="shared" si="49"/>
        <v>6453.333333333333</v>
      </c>
      <c r="O120" s="30"/>
      <c r="P120" s="43"/>
      <c r="Q120" s="44"/>
      <c r="R120" s="33"/>
      <c r="V120" s="45"/>
      <c r="W120" s="7"/>
      <c r="X120" s="7"/>
      <c r="Y120" s="46"/>
      <c r="Z120" s="7">
        <f t="shared" si="52"/>
        <v>0</v>
      </c>
      <c r="AA120" s="7"/>
      <c r="AC120" s="7"/>
    </row>
    <row r="121" spans="1:29">
      <c r="A121" s="18">
        <v>45127</v>
      </c>
      <c r="B121" s="37">
        <f t="shared" si="0"/>
        <v>-57600</v>
      </c>
      <c r="C121" s="29">
        <v>-40000</v>
      </c>
      <c r="D121" s="29">
        <f t="shared" ref="D121" si="66">-I119*O$4*(A121-A119)/360</f>
        <v>-17600</v>
      </c>
      <c r="E121" s="38"/>
      <c r="F121" s="39"/>
      <c r="G121" s="47"/>
      <c r="H121" s="24">
        <f t="shared" si="1"/>
        <v>920000</v>
      </c>
      <c r="I121" s="41">
        <f t="shared" si="45"/>
        <v>920000</v>
      </c>
      <c r="J121" s="29">
        <f t="shared" si="46"/>
        <v>0</v>
      </c>
      <c r="K121" s="42"/>
      <c r="L121" s="33">
        <f t="shared" si="2"/>
        <v>0</v>
      </c>
      <c r="M121" s="196"/>
      <c r="N121" s="29">
        <f t="shared" si="48"/>
        <v>11146.666666666666</v>
      </c>
      <c r="O121" s="30"/>
      <c r="P121" s="43"/>
      <c r="Q121" s="44"/>
      <c r="R121" s="33"/>
      <c r="V121" s="45"/>
      <c r="W121" s="7"/>
      <c r="X121" s="7"/>
      <c r="Y121" s="46"/>
      <c r="Z121" s="7"/>
      <c r="AA121" s="7"/>
      <c r="AC121" s="7"/>
    </row>
    <row r="122" spans="1:29">
      <c r="A122" s="18">
        <v>45138</v>
      </c>
      <c r="B122" s="37">
        <f t="shared" si="0"/>
        <v>0</v>
      </c>
      <c r="C122" s="29"/>
      <c r="D122" s="29">
        <v>0</v>
      </c>
      <c r="E122" s="38"/>
      <c r="F122" s="39"/>
      <c r="G122" s="47"/>
      <c r="H122" s="24">
        <f t="shared" si="1"/>
        <v>926746.66666666663</v>
      </c>
      <c r="I122" s="41">
        <f t="shared" si="45"/>
        <v>920000</v>
      </c>
      <c r="J122" s="29">
        <f t="shared" si="46"/>
        <v>6746.666666666667</v>
      </c>
      <c r="K122" s="42"/>
      <c r="L122" s="33">
        <f t="shared" si="2"/>
        <v>0</v>
      </c>
      <c r="M122" s="196"/>
      <c r="N122" s="29">
        <f t="shared" si="49"/>
        <v>6746.666666666667</v>
      </c>
      <c r="O122" s="30"/>
      <c r="P122" s="43"/>
      <c r="Q122" s="44"/>
      <c r="R122" s="33"/>
      <c r="V122" s="45"/>
      <c r="W122" s="7"/>
      <c r="X122" s="7"/>
      <c r="Y122" s="46"/>
      <c r="Z122" s="7">
        <f t="shared" si="52"/>
        <v>0</v>
      </c>
      <c r="AA122" s="7"/>
      <c r="AC122" s="7"/>
    </row>
    <row r="123" spans="1:29">
      <c r="A123" s="18">
        <v>45158</v>
      </c>
      <c r="B123" s="37">
        <f t="shared" si="0"/>
        <v>-57428.888888888891</v>
      </c>
      <c r="C123" s="29">
        <v>-40000</v>
      </c>
      <c r="D123" s="29">
        <f t="shared" ref="D123" si="67">-I121*O$4*(A123-A121)/360</f>
        <v>-17428.888888888891</v>
      </c>
      <c r="E123" s="38"/>
      <c r="F123" s="39"/>
      <c r="G123" s="47"/>
      <c r="H123" s="24">
        <f t="shared" si="1"/>
        <v>880000</v>
      </c>
      <c r="I123" s="41">
        <f t="shared" si="45"/>
        <v>880000</v>
      </c>
      <c r="J123" s="29">
        <f t="shared" si="46"/>
        <v>0</v>
      </c>
      <c r="K123" s="42"/>
      <c r="L123" s="33">
        <f t="shared" si="2"/>
        <v>0</v>
      </c>
      <c r="M123" s="196"/>
      <c r="N123" s="29">
        <f t="shared" si="48"/>
        <v>10682.222222222223</v>
      </c>
      <c r="O123" s="30"/>
      <c r="P123" s="43"/>
      <c r="Q123" s="44"/>
      <c r="R123" s="33"/>
      <c r="V123" s="45"/>
      <c r="W123" s="7"/>
      <c r="X123" s="7"/>
      <c r="Y123" s="46"/>
      <c r="Z123" s="7"/>
      <c r="AA123" s="7"/>
      <c r="AC123" s="7"/>
    </row>
    <row r="124" spans="1:29">
      <c r="A124" s="18">
        <v>45169</v>
      </c>
      <c r="B124" s="37">
        <f t="shared" si="0"/>
        <v>0</v>
      </c>
      <c r="C124" s="29"/>
      <c r="D124" s="29">
        <v>0</v>
      </c>
      <c r="E124" s="38"/>
      <c r="F124" s="39"/>
      <c r="G124" s="47"/>
      <c r="H124" s="24">
        <f t="shared" si="1"/>
        <v>886453.33333333337</v>
      </c>
      <c r="I124" s="41">
        <f t="shared" si="45"/>
        <v>880000</v>
      </c>
      <c r="J124" s="29">
        <f t="shared" si="46"/>
        <v>6453.333333333333</v>
      </c>
      <c r="K124" s="42"/>
      <c r="L124" s="33">
        <f t="shared" si="2"/>
        <v>0</v>
      </c>
      <c r="M124" s="196"/>
      <c r="N124" s="29">
        <f t="shared" si="49"/>
        <v>6453.333333333333</v>
      </c>
      <c r="O124" s="30"/>
      <c r="P124" s="43"/>
      <c r="Q124" s="44"/>
      <c r="R124" s="33"/>
      <c r="V124" s="45"/>
      <c r="W124" s="7"/>
      <c r="X124" s="7"/>
      <c r="Y124" s="46"/>
      <c r="Z124" s="7">
        <f t="shared" si="52"/>
        <v>0</v>
      </c>
      <c r="AA124" s="7"/>
      <c r="AC124" s="7"/>
    </row>
    <row r="125" spans="1:29">
      <c r="A125" s="18">
        <v>45189</v>
      </c>
      <c r="B125" s="37">
        <f t="shared" si="0"/>
        <v>-56671.111111111109</v>
      </c>
      <c r="C125" s="29">
        <v>-40000</v>
      </c>
      <c r="D125" s="29">
        <f t="shared" ref="D125" si="68">-I123*O$4*(A125-A123)/360</f>
        <v>-16671.111111111109</v>
      </c>
      <c r="E125" s="38"/>
      <c r="F125" s="39"/>
      <c r="G125" s="47"/>
      <c r="H125" s="24">
        <f t="shared" si="1"/>
        <v>840000</v>
      </c>
      <c r="I125" s="41">
        <f t="shared" si="45"/>
        <v>840000</v>
      </c>
      <c r="J125" s="29">
        <f t="shared" si="46"/>
        <v>0</v>
      </c>
      <c r="K125" s="42"/>
      <c r="L125" s="33">
        <f t="shared" si="2"/>
        <v>0</v>
      </c>
      <c r="M125" s="196"/>
      <c r="N125" s="29">
        <f t="shared" si="48"/>
        <v>10217.777777777777</v>
      </c>
      <c r="O125" s="30"/>
      <c r="P125" s="43"/>
      <c r="Q125" s="44"/>
      <c r="R125" s="33"/>
      <c r="V125" s="45"/>
      <c r="W125" s="7"/>
      <c r="X125" s="7"/>
      <c r="Y125" s="46"/>
      <c r="Z125" s="7"/>
      <c r="AA125" s="7"/>
      <c r="AC125" s="7"/>
    </row>
    <row r="126" spans="1:29">
      <c r="A126" s="18">
        <v>45199</v>
      </c>
      <c r="B126" s="37">
        <f t="shared" si="0"/>
        <v>0</v>
      </c>
      <c r="C126" s="29"/>
      <c r="D126" s="29">
        <v>0</v>
      </c>
      <c r="E126" s="38"/>
      <c r="F126" s="39"/>
      <c r="G126" s="47"/>
      <c r="H126" s="24">
        <f t="shared" si="1"/>
        <v>845646.66666666663</v>
      </c>
      <c r="I126" s="41">
        <f t="shared" si="45"/>
        <v>840000</v>
      </c>
      <c r="J126" s="29">
        <f t="shared" si="46"/>
        <v>5646.666666666667</v>
      </c>
      <c r="K126" s="42"/>
      <c r="L126" s="33">
        <f t="shared" si="2"/>
        <v>0</v>
      </c>
      <c r="M126" s="196"/>
      <c r="N126" s="29">
        <f t="shared" si="49"/>
        <v>5646.666666666667</v>
      </c>
      <c r="O126" s="30"/>
      <c r="P126" s="43"/>
      <c r="Q126" s="44"/>
      <c r="R126" s="33"/>
      <c r="V126" s="45"/>
      <c r="W126" s="7"/>
      <c r="X126" s="7"/>
      <c r="Y126" s="46"/>
      <c r="Z126" s="7">
        <f t="shared" si="52"/>
        <v>0</v>
      </c>
      <c r="AA126" s="7"/>
      <c r="AC126" s="7"/>
    </row>
    <row r="127" spans="1:29">
      <c r="A127" s="18">
        <v>45219</v>
      </c>
      <c r="B127" s="37">
        <f t="shared" si="0"/>
        <v>-55400</v>
      </c>
      <c r="C127" s="29">
        <v>-40000</v>
      </c>
      <c r="D127" s="29">
        <f t="shared" ref="D127" si="69">-I125*O$4*(A127-A125)/360</f>
        <v>-15400</v>
      </c>
      <c r="E127" s="38"/>
      <c r="F127" s="39"/>
      <c r="G127" s="47"/>
      <c r="H127" s="24">
        <f t="shared" si="1"/>
        <v>800000</v>
      </c>
      <c r="I127" s="41">
        <f t="shared" si="45"/>
        <v>800000</v>
      </c>
      <c r="J127" s="29">
        <f t="shared" si="46"/>
        <v>0</v>
      </c>
      <c r="K127" s="42"/>
      <c r="L127" s="33">
        <f t="shared" si="2"/>
        <v>0</v>
      </c>
      <c r="M127" s="196"/>
      <c r="N127" s="29">
        <f t="shared" si="48"/>
        <v>9753.3333333333339</v>
      </c>
      <c r="O127" s="30"/>
      <c r="P127" s="43"/>
      <c r="Q127" s="44"/>
      <c r="R127" s="33"/>
      <c r="V127" s="45"/>
      <c r="W127" s="7"/>
      <c r="X127" s="7"/>
      <c r="Y127" s="46"/>
      <c r="Z127" s="7"/>
      <c r="AA127" s="7"/>
      <c r="AC127" s="7"/>
    </row>
    <row r="128" spans="1:29">
      <c r="A128" s="18">
        <v>45230</v>
      </c>
      <c r="B128" s="37">
        <f t="shared" si="0"/>
        <v>0</v>
      </c>
      <c r="C128" s="29"/>
      <c r="D128" s="29">
        <v>0</v>
      </c>
      <c r="E128" s="38"/>
      <c r="F128" s="39"/>
      <c r="G128" s="47"/>
      <c r="H128" s="24">
        <f t="shared" si="1"/>
        <v>805866.66666666663</v>
      </c>
      <c r="I128" s="41">
        <f t="shared" si="45"/>
        <v>800000</v>
      </c>
      <c r="J128" s="29">
        <f t="shared" si="46"/>
        <v>5866.666666666667</v>
      </c>
      <c r="K128" s="42"/>
      <c r="L128" s="33">
        <f t="shared" si="2"/>
        <v>0</v>
      </c>
      <c r="M128" s="196"/>
      <c r="N128" s="29">
        <f t="shared" si="49"/>
        <v>5866.666666666667</v>
      </c>
      <c r="O128" s="30"/>
      <c r="P128" s="43"/>
      <c r="Q128" s="44"/>
      <c r="R128" s="33"/>
      <c r="V128" s="45"/>
      <c r="W128" s="7"/>
      <c r="X128" s="7"/>
      <c r="Y128" s="46"/>
      <c r="Z128" s="7">
        <f t="shared" si="52"/>
        <v>0</v>
      </c>
      <c r="AA128" s="7"/>
      <c r="AC128" s="7"/>
    </row>
    <row r="129" spans="1:29">
      <c r="A129" s="18">
        <v>45250</v>
      </c>
      <c r="B129" s="37">
        <f t="shared" si="0"/>
        <v>-55155.555555555555</v>
      </c>
      <c r="C129" s="29">
        <v>-40000</v>
      </c>
      <c r="D129" s="29">
        <f t="shared" ref="D129" si="70">-I127*O$4*(A129-A127)/360</f>
        <v>-15155.555555555555</v>
      </c>
      <c r="E129" s="38"/>
      <c r="F129" s="39"/>
      <c r="G129" s="47"/>
      <c r="H129" s="24">
        <f t="shared" si="1"/>
        <v>760000</v>
      </c>
      <c r="I129" s="41">
        <f t="shared" si="45"/>
        <v>760000</v>
      </c>
      <c r="J129" s="29">
        <f t="shared" si="46"/>
        <v>0</v>
      </c>
      <c r="K129" s="42"/>
      <c r="L129" s="33">
        <f t="shared" si="2"/>
        <v>0</v>
      </c>
      <c r="M129" s="196"/>
      <c r="N129" s="29">
        <f t="shared" si="48"/>
        <v>9288.8888888888887</v>
      </c>
      <c r="O129" s="30"/>
      <c r="P129" s="43"/>
      <c r="Q129" s="44"/>
      <c r="R129" s="33"/>
      <c r="V129" s="45"/>
      <c r="W129" s="7"/>
      <c r="X129" s="7"/>
      <c r="Y129" s="46"/>
      <c r="Z129" s="7"/>
      <c r="AA129" s="7"/>
      <c r="AC129" s="7"/>
    </row>
    <row r="130" spans="1:29">
      <c r="A130" s="18">
        <v>45260</v>
      </c>
      <c r="B130" s="37">
        <f t="shared" si="0"/>
        <v>0</v>
      </c>
      <c r="C130" s="29"/>
      <c r="D130" s="29">
        <v>0</v>
      </c>
      <c r="E130" s="38"/>
      <c r="F130" s="39"/>
      <c r="G130" s="47"/>
      <c r="H130" s="24">
        <f t="shared" si="1"/>
        <v>765108.88888888888</v>
      </c>
      <c r="I130" s="41">
        <f t="shared" si="45"/>
        <v>760000</v>
      </c>
      <c r="J130" s="29">
        <f t="shared" si="46"/>
        <v>5108.8888888888887</v>
      </c>
      <c r="K130" s="42"/>
      <c r="L130" s="33">
        <f t="shared" si="2"/>
        <v>0</v>
      </c>
      <c r="M130" s="196"/>
      <c r="N130" s="29">
        <f t="shared" si="49"/>
        <v>5108.8888888888887</v>
      </c>
      <c r="O130" s="30"/>
      <c r="P130" s="43"/>
      <c r="Q130" s="44"/>
      <c r="R130" s="33"/>
      <c r="V130" s="45"/>
      <c r="W130" s="7"/>
      <c r="X130" s="7"/>
      <c r="Y130" s="46"/>
      <c r="Z130" s="7">
        <f t="shared" si="52"/>
        <v>0</v>
      </c>
      <c r="AA130" s="7"/>
      <c r="AC130" s="7"/>
    </row>
    <row r="131" spans="1:29">
      <c r="A131" s="18">
        <v>45280</v>
      </c>
      <c r="B131" s="37">
        <f t="shared" si="0"/>
        <v>-53933.333333333336</v>
      </c>
      <c r="C131" s="29">
        <v>-40000</v>
      </c>
      <c r="D131" s="29">
        <f t="shared" ref="D131" si="71">-I129*O$4*(A131-A129)/360</f>
        <v>-13933.333333333334</v>
      </c>
      <c r="E131" s="38"/>
      <c r="F131" s="39"/>
      <c r="G131" s="47"/>
      <c r="H131" s="24">
        <f t="shared" si="1"/>
        <v>720000</v>
      </c>
      <c r="I131" s="41">
        <f t="shared" si="45"/>
        <v>720000</v>
      </c>
      <c r="J131" s="29">
        <f t="shared" si="46"/>
        <v>0</v>
      </c>
      <c r="K131" s="42"/>
      <c r="L131" s="33">
        <f t="shared" si="2"/>
        <v>0</v>
      </c>
      <c r="M131" s="196"/>
      <c r="N131" s="29">
        <f t="shared" si="48"/>
        <v>8824.4444444444453</v>
      </c>
      <c r="O131" s="30"/>
      <c r="P131" s="43"/>
      <c r="Q131" s="44"/>
      <c r="R131" s="33"/>
      <c r="V131" s="45"/>
      <c r="W131" s="7"/>
      <c r="X131" s="7"/>
      <c r="Y131" s="46"/>
      <c r="Z131" s="7"/>
      <c r="AA131" s="7"/>
      <c r="AC131" s="7"/>
    </row>
    <row r="132" spans="1:29">
      <c r="A132" s="18">
        <v>45291</v>
      </c>
      <c r="B132" s="37">
        <f t="shared" si="0"/>
        <v>0</v>
      </c>
      <c r="C132" s="29"/>
      <c r="D132" s="29">
        <v>0</v>
      </c>
      <c r="E132" s="38"/>
      <c r="F132" s="39"/>
      <c r="G132" s="47"/>
      <c r="H132" s="24">
        <f t="shared" si="1"/>
        <v>725280</v>
      </c>
      <c r="I132" s="41">
        <f t="shared" si="45"/>
        <v>720000</v>
      </c>
      <c r="J132" s="29">
        <f t="shared" si="46"/>
        <v>5280</v>
      </c>
      <c r="K132" s="42"/>
      <c r="L132" s="33">
        <f t="shared" si="2"/>
        <v>0</v>
      </c>
      <c r="M132" s="196"/>
      <c r="N132" s="29">
        <f t="shared" si="49"/>
        <v>5280</v>
      </c>
      <c r="O132" s="30"/>
      <c r="P132" s="43"/>
      <c r="Q132" s="44"/>
      <c r="R132" s="33"/>
      <c r="V132" s="45"/>
      <c r="W132" s="7"/>
      <c r="X132" s="7"/>
      <c r="Y132" s="46"/>
      <c r="Z132" s="7">
        <f t="shared" si="52"/>
        <v>0</v>
      </c>
      <c r="AA132" s="7"/>
      <c r="AC132" s="7"/>
    </row>
    <row r="133" spans="1:29">
      <c r="A133" s="18">
        <v>45311</v>
      </c>
      <c r="B133" s="37">
        <f t="shared" si="0"/>
        <v>-53640</v>
      </c>
      <c r="C133" s="29">
        <v>-40000</v>
      </c>
      <c r="D133" s="29">
        <f t="shared" ref="D133" si="72">-I131*O$4*(A133-A131)/360</f>
        <v>-13640</v>
      </c>
      <c r="E133" s="38"/>
      <c r="F133" s="39"/>
      <c r="G133" s="47"/>
      <c r="H133" s="24">
        <f t="shared" si="1"/>
        <v>680000</v>
      </c>
      <c r="I133" s="41">
        <f t="shared" si="45"/>
        <v>680000</v>
      </c>
      <c r="J133" s="29">
        <f t="shared" si="46"/>
        <v>0</v>
      </c>
      <c r="K133" s="42"/>
      <c r="L133" s="33">
        <f t="shared" si="2"/>
        <v>0</v>
      </c>
      <c r="M133" s="196"/>
      <c r="N133" s="29">
        <f t="shared" si="48"/>
        <v>8360</v>
      </c>
      <c r="O133" s="30"/>
      <c r="P133" s="43"/>
      <c r="Q133" s="44"/>
      <c r="R133" s="33"/>
      <c r="V133" s="45"/>
      <c r="W133" s="7"/>
      <c r="X133" s="7"/>
      <c r="Y133" s="46"/>
      <c r="Z133" s="7"/>
      <c r="AA133" s="7"/>
      <c r="AC133" s="7"/>
    </row>
    <row r="134" spans="1:29">
      <c r="A134" s="18">
        <v>45322</v>
      </c>
      <c r="B134" s="37">
        <f t="shared" si="0"/>
        <v>0</v>
      </c>
      <c r="C134" s="29"/>
      <c r="D134" s="29">
        <v>0</v>
      </c>
      <c r="E134" s="38"/>
      <c r="F134" s="39"/>
      <c r="G134" s="47"/>
      <c r="H134" s="24">
        <f t="shared" si="1"/>
        <v>684986.66666666663</v>
      </c>
      <c r="I134" s="41">
        <f t="shared" si="45"/>
        <v>680000</v>
      </c>
      <c r="J134" s="29">
        <f t="shared" si="46"/>
        <v>4986.666666666667</v>
      </c>
      <c r="K134" s="42"/>
      <c r="L134" s="33">
        <f t="shared" si="2"/>
        <v>0</v>
      </c>
      <c r="M134" s="196"/>
      <c r="N134" s="29">
        <f t="shared" si="49"/>
        <v>4986.666666666667</v>
      </c>
      <c r="O134" s="30"/>
      <c r="P134" s="43"/>
      <c r="Q134" s="44"/>
      <c r="R134" s="33"/>
      <c r="V134" s="45"/>
      <c r="W134" s="7"/>
      <c r="X134" s="7"/>
      <c r="Y134" s="46"/>
      <c r="Z134" s="7">
        <f t="shared" si="52"/>
        <v>0</v>
      </c>
      <c r="AA134" s="7"/>
      <c r="AC134" s="7"/>
    </row>
    <row r="135" spans="1:29">
      <c r="A135" s="18">
        <v>45342</v>
      </c>
      <c r="B135" s="37">
        <f t="shared" si="0"/>
        <v>-52882.222222222219</v>
      </c>
      <c r="C135" s="29">
        <v>-40000</v>
      </c>
      <c r="D135" s="29">
        <f t="shared" ref="D135" si="73">-I133*O$4*(A135-A133)/360</f>
        <v>-12882.222222222223</v>
      </c>
      <c r="E135" s="38"/>
      <c r="F135" s="39"/>
      <c r="G135" s="47"/>
      <c r="H135" s="24">
        <f t="shared" si="1"/>
        <v>640000</v>
      </c>
      <c r="I135" s="41">
        <f t="shared" si="45"/>
        <v>640000</v>
      </c>
      <c r="J135" s="29">
        <f t="shared" si="46"/>
        <v>0</v>
      </c>
      <c r="K135" s="42"/>
      <c r="L135" s="33">
        <f t="shared" si="2"/>
        <v>0</v>
      </c>
      <c r="M135" s="196"/>
      <c r="N135" s="29">
        <f t="shared" si="48"/>
        <v>7895.5555555555557</v>
      </c>
      <c r="O135" s="30"/>
      <c r="P135" s="43"/>
      <c r="Q135" s="44"/>
      <c r="R135" s="33"/>
      <c r="V135" s="45"/>
      <c r="W135" s="7"/>
      <c r="X135" s="7"/>
      <c r="Y135" s="46"/>
      <c r="Z135" s="7"/>
      <c r="AA135" s="7"/>
      <c r="AC135" s="7"/>
    </row>
    <row r="136" spans="1:29">
      <c r="A136" s="18">
        <v>45351</v>
      </c>
      <c r="B136" s="37">
        <f t="shared" si="0"/>
        <v>0</v>
      </c>
      <c r="C136" s="29"/>
      <c r="D136" s="29">
        <v>0</v>
      </c>
      <c r="E136" s="38"/>
      <c r="F136" s="39"/>
      <c r="G136" s="47"/>
      <c r="H136" s="24">
        <f t="shared" si="1"/>
        <v>643911.11111111112</v>
      </c>
      <c r="I136" s="41">
        <f t="shared" si="45"/>
        <v>640000</v>
      </c>
      <c r="J136" s="29">
        <f t="shared" si="46"/>
        <v>3911.1111111111113</v>
      </c>
      <c r="K136" s="42"/>
      <c r="L136" s="33">
        <f t="shared" si="2"/>
        <v>0</v>
      </c>
      <c r="M136" s="196"/>
      <c r="N136" s="29">
        <f t="shared" si="49"/>
        <v>3911.1111111111113</v>
      </c>
      <c r="O136" s="30"/>
      <c r="P136" s="43"/>
      <c r="Q136" s="44"/>
      <c r="R136" s="33"/>
      <c r="V136" s="45"/>
      <c r="W136" s="7"/>
      <c r="X136" s="7"/>
      <c r="Y136" s="46"/>
      <c r="Z136" s="7">
        <f t="shared" si="52"/>
        <v>0</v>
      </c>
      <c r="AA136" s="7"/>
      <c r="AC136" s="7"/>
    </row>
    <row r="137" spans="1:29">
      <c r="A137" s="18">
        <v>45371</v>
      </c>
      <c r="B137" s="37">
        <f t="shared" si="0"/>
        <v>-51342.222222222219</v>
      </c>
      <c r="C137" s="29">
        <v>-40000</v>
      </c>
      <c r="D137" s="29">
        <f t="shared" ref="D137" si="74">-I135*O$4*(A137-A135)/360</f>
        <v>-11342.222222222223</v>
      </c>
      <c r="E137" s="38"/>
      <c r="F137" s="39"/>
      <c r="G137" s="47"/>
      <c r="H137" s="24">
        <f t="shared" si="1"/>
        <v>600000</v>
      </c>
      <c r="I137" s="41">
        <f t="shared" si="45"/>
        <v>600000</v>
      </c>
      <c r="J137" s="29">
        <f t="shared" si="46"/>
        <v>0</v>
      </c>
      <c r="K137" s="42"/>
      <c r="L137" s="33">
        <f t="shared" si="2"/>
        <v>0</v>
      </c>
      <c r="M137" s="196"/>
      <c r="N137" s="29">
        <f t="shared" si="48"/>
        <v>7431.1111111111113</v>
      </c>
      <c r="O137" s="30"/>
      <c r="P137" s="43"/>
      <c r="Q137" s="44"/>
      <c r="R137" s="33"/>
      <c r="V137" s="45"/>
      <c r="W137" s="7"/>
      <c r="X137" s="7"/>
      <c r="Y137" s="46"/>
      <c r="Z137" s="7"/>
      <c r="AA137" s="7"/>
      <c r="AC137" s="7"/>
    </row>
    <row r="138" spans="1:29">
      <c r="A138" s="18">
        <v>45382</v>
      </c>
      <c r="B138" s="37">
        <f t="shared" si="0"/>
        <v>0</v>
      </c>
      <c r="C138" s="29"/>
      <c r="D138" s="29">
        <v>0</v>
      </c>
      <c r="E138" s="38"/>
      <c r="F138" s="39"/>
      <c r="G138" s="47"/>
      <c r="H138" s="24">
        <f t="shared" si="1"/>
        <v>604400</v>
      </c>
      <c r="I138" s="41">
        <f t="shared" si="45"/>
        <v>600000</v>
      </c>
      <c r="J138" s="29">
        <f t="shared" si="46"/>
        <v>4400</v>
      </c>
      <c r="K138" s="42"/>
      <c r="L138" s="33">
        <f t="shared" si="2"/>
        <v>0</v>
      </c>
      <c r="M138" s="196"/>
      <c r="N138" s="29">
        <f t="shared" si="49"/>
        <v>4400</v>
      </c>
      <c r="O138" s="30"/>
      <c r="P138" s="43"/>
      <c r="Q138" s="44"/>
      <c r="R138" s="33"/>
      <c r="V138" s="45"/>
      <c r="W138" s="7"/>
      <c r="X138" s="7"/>
      <c r="Y138" s="46"/>
      <c r="Z138" s="7">
        <f t="shared" si="52"/>
        <v>0</v>
      </c>
      <c r="AA138" s="7"/>
      <c r="AC138" s="7"/>
    </row>
    <row r="139" spans="1:29">
      <c r="A139" s="18">
        <v>45402</v>
      </c>
      <c r="B139" s="37">
        <f t="shared" si="0"/>
        <v>-51366.666666666664</v>
      </c>
      <c r="C139" s="29">
        <v>-40000</v>
      </c>
      <c r="D139" s="29">
        <f t="shared" ref="D139" si="75">-I137*O$4*(A139-A137)/360</f>
        <v>-11366.666666666666</v>
      </c>
      <c r="E139" s="38"/>
      <c r="F139" s="39"/>
      <c r="G139" s="47"/>
      <c r="H139" s="24">
        <f t="shared" si="1"/>
        <v>560000</v>
      </c>
      <c r="I139" s="41">
        <f t="shared" si="45"/>
        <v>560000</v>
      </c>
      <c r="J139" s="29">
        <f t="shared" si="46"/>
        <v>0</v>
      </c>
      <c r="K139" s="42"/>
      <c r="L139" s="33">
        <f t="shared" si="2"/>
        <v>0</v>
      </c>
      <c r="M139" s="196"/>
      <c r="N139" s="29">
        <f t="shared" si="48"/>
        <v>6966.666666666667</v>
      </c>
      <c r="O139" s="30"/>
      <c r="P139" s="43"/>
      <c r="Q139" s="44"/>
      <c r="R139" s="33"/>
      <c r="V139" s="45"/>
      <c r="W139" s="7"/>
      <c r="X139" s="7"/>
      <c r="Y139" s="46"/>
      <c r="Z139" s="7"/>
      <c r="AA139" s="7"/>
      <c r="AC139" s="7"/>
    </row>
    <row r="140" spans="1:29">
      <c r="A140" s="18">
        <v>45412</v>
      </c>
      <c r="B140" s="37">
        <f t="shared" si="0"/>
        <v>0</v>
      </c>
      <c r="C140" s="29"/>
      <c r="D140" s="29">
        <v>0</v>
      </c>
      <c r="E140" s="38"/>
      <c r="F140" s="39"/>
      <c r="G140" s="47"/>
      <c r="H140" s="24">
        <f t="shared" si="1"/>
        <v>563764.4444444445</v>
      </c>
      <c r="I140" s="41">
        <f t="shared" si="45"/>
        <v>560000</v>
      </c>
      <c r="J140" s="29">
        <f t="shared" si="46"/>
        <v>3764.4444444444443</v>
      </c>
      <c r="K140" s="42"/>
      <c r="L140" s="33">
        <f t="shared" si="2"/>
        <v>0</v>
      </c>
      <c r="M140" s="196"/>
      <c r="N140" s="29">
        <f t="shared" si="49"/>
        <v>3764.4444444444443</v>
      </c>
      <c r="O140" s="30"/>
      <c r="P140" s="43"/>
      <c r="Q140" s="44"/>
      <c r="R140" s="33"/>
      <c r="V140" s="45"/>
      <c r="W140" s="7"/>
      <c r="X140" s="7"/>
      <c r="Y140" s="46"/>
      <c r="Z140" s="7">
        <f t="shared" si="52"/>
        <v>0</v>
      </c>
      <c r="AA140" s="7"/>
      <c r="AC140" s="7"/>
    </row>
    <row r="141" spans="1:29">
      <c r="A141" s="18">
        <v>45432</v>
      </c>
      <c r="B141" s="37">
        <f t="shared" si="0"/>
        <v>-50266.666666666664</v>
      </c>
      <c r="C141" s="29">
        <v>-40000</v>
      </c>
      <c r="D141" s="29">
        <f t="shared" ref="D141" si="76">-I139*O$4*(A141-A139)/360</f>
        <v>-10266.666666666666</v>
      </c>
      <c r="E141" s="38"/>
      <c r="F141" s="39"/>
      <c r="G141" s="47"/>
      <c r="H141" s="24">
        <f t="shared" si="1"/>
        <v>520000</v>
      </c>
      <c r="I141" s="41">
        <f t="shared" si="45"/>
        <v>520000</v>
      </c>
      <c r="J141" s="29">
        <f t="shared" si="46"/>
        <v>0</v>
      </c>
      <c r="K141" s="42"/>
      <c r="L141" s="33">
        <f t="shared" si="2"/>
        <v>0</v>
      </c>
      <c r="M141" s="196"/>
      <c r="N141" s="29">
        <f t="shared" si="48"/>
        <v>6502.2222222222226</v>
      </c>
      <c r="O141" s="30"/>
      <c r="P141" s="43"/>
      <c r="Q141" s="44"/>
      <c r="R141" s="33"/>
      <c r="V141" s="45"/>
      <c r="W141" s="7"/>
      <c r="X141" s="7"/>
      <c r="Y141" s="46"/>
      <c r="Z141" s="7"/>
      <c r="AA141" s="7"/>
      <c r="AC141" s="7"/>
    </row>
    <row r="142" spans="1:29">
      <c r="A142" s="18">
        <v>45443</v>
      </c>
      <c r="B142" s="37">
        <f t="shared" si="0"/>
        <v>0</v>
      </c>
      <c r="C142" s="29"/>
      <c r="D142" s="29">
        <v>0</v>
      </c>
      <c r="E142" s="38"/>
      <c r="F142" s="39"/>
      <c r="G142" s="47"/>
      <c r="H142" s="24">
        <f t="shared" si="1"/>
        <v>523813.33333333331</v>
      </c>
      <c r="I142" s="41">
        <f t="shared" si="45"/>
        <v>520000</v>
      </c>
      <c r="J142" s="29">
        <f t="shared" si="46"/>
        <v>3813.3333333333335</v>
      </c>
      <c r="K142" s="42"/>
      <c r="L142" s="33">
        <f t="shared" si="2"/>
        <v>0</v>
      </c>
      <c r="M142" s="196"/>
      <c r="N142" s="29">
        <f t="shared" si="49"/>
        <v>3813.3333333333335</v>
      </c>
      <c r="O142" s="30"/>
      <c r="P142" s="43"/>
      <c r="Q142" s="44"/>
      <c r="R142" s="33"/>
      <c r="V142" s="45"/>
      <c r="W142" s="7"/>
      <c r="X142" s="7"/>
      <c r="Y142" s="46"/>
      <c r="Z142" s="7">
        <f t="shared" si="52"/>
        <v>0</v>
      </c>
      <c r="AA142" s="7"/>
      <c r="AC142" s="7"/>
    </row>
    <row r="143" spans="1:29">
      <c r="A143" s="18">
        <v>45463</v>
      </c>
      <c r="B143" s="37">
        <f t="shared" si="0"/>
        <v>-49851.111111111109</v>
      </c>
      <c r="C143" s="29">
        <v>-40000</v>
      </c>
      <c r="D143" s="29">
        <f t="shared" ref="D143" si="77">-I141*O$4*(A143-A141)/360</f>
        <v>-9851.1111111111113</v>
      </c>
      <c r="E143" s="38"/>
      <c r="F143" s="39"/>
      <c r="G143" s="47"/>
      <c r="H143" s="24">
        <f t="shared" si="1"/>
        <v>480000</v>
      </c>
      <c r="I143" s="41">
        <f t="shared" si="45"/>
        <v>480000</v>
      </c>
      <c r="J143" s="29">
        <f t="shared" si="46"/>
        <v>0</v>
      </c>
      <c r="K143" s="42"/>
      <c r="L143" s="33">
        <f t="shared" si="2"/>
        <v>0</v>
      </c>
      <c r="M143" s="196"/>
      <c r="N143" s="29">
        <f t="shared" si="48"/>
        <v>6037.7777777777774</v>
      </c>
      <c r="O143" s="30"/>
      <c r="P143" s="43"/>
      <c r="Q143" s="44"/>
      <c r="R143" s="33"/>
      <c r="V143" s="45"/>
      <c r="W143" s="7"/>
      <c r="X143" s="7"/>
      <c r="Y143" s="46"/>
      <c r="Z143" s="7"/>
      <c r="AA143" s="7"/>
      <c r="AC143" s="7"/>
    </row>
    <row r="144" spans="1:29">
      <c r="A144" s="18">
        <v>45473</v>
      </c>
      <c r="B144" s="37">
        <f t="shared" si="0"/>
        <v>0</v>
      </c>
      <c r="C144" s="29"/>
      <c r="D144" s="29">
        <v>0</v>
      </c>
      <c r="E144" s="38"/>
      <c r="F144" s="39"/>
      <c r="G144" s="47"/>
      <c r="H144" s="24">
        <f t="shared" si="1"/>
        <v>483226.66666666669</v>
      </c>
      <c r="I144" s="41">
        <f t="shared" si="45"/>
        <v>480000</v>
      </c>
      <c r="J144" s="29">
        <f t="shared" si="46"/>
        <v>3226.6666666666665</v>
      </c>
      <c r="K144" s="42"/>
      <c r="L144" s="33">
        <f t="shared" si="2"/>
        <v>0</v>
      </c>
      <c r="M144" s="196"/>
      <c r="N144" s="29">
        <f t="shared" si="49"/>
        <v>3226.6666666666665</v>
      </c>
      <c r="O144" s="30"/>
      <c r="P144" s="43"/>
      <c r="Q144" s="44"/>
      <c r="R144" s="33"/>
      <c r="V144" s="45"/>
      <c r="W144" s="7"/>
      <c r="X144" s="7"/>
      <c r="Y144" s="46"/>
      <c r="Z144" s="7">
        <f t="shared" si="52"/>
        <v>0</v>
      </c>
      <c r="AA144" s="7"/>
      <c r="AC144" s="7"/>
    </row>
    <row r="145" spans="1:29">
      <c r="A145" s="18">
        <v>45493</v>
      </c>
      <c r="B145" s="37">
        <f t="shared" si="0"/>
        <v>-48800</v>
      </c>
      <c r="C145" s="29">
        <v>-40000</v>
      </c>
      <c r="D145" s="29">
        <f t="shared" ref="D145" si="78">-I143*O$4*(A145-A143)/360</f>
        <v>-8800</v>
      </c>
      <c r="E145" s="38"/>
      <c r="F145" s="39"/>
      <c r="G145" s="47"/>
      <c r="H145" s="24">
        <f t="shared" si="1"/>
        <v>440000</v>
      </c>
      <c r="I145" s="41">
        <f t="shared" si="45"/>
        <v>440000</v>
      </c>
      <c r="J145" s="29">
        <f t="shared" si="46"/>
        <v>0</v>
      </c>
      <c r="K145" s="42"/>
      <c r="L145" s="33">
        <f t="shared" si="2"/>
        <v>0</v>
      </c>
      <c r="M145" s="196"/>
      <c r="N145" s="29">
        <f t="shared" si="48"/>
        <v>5573.333333333333</v>
      </c>
      <c r="O145" s="30"/>
      <c r="P145" s="43"/>
      <c r="Q145" s="44"/>
      <c r="R145" s="33"/>
      <c r="V145" s="45"/>
      <c r="W145" s="7"/>
      <c r="X145" s="7"/>
      <c r="Y145" s="46"/>
      <c r="Z145" s="7"/>
      <c r="AA145" s="7"/>
      <c r="AC145" s="7"/>
    </row>
    <row r="146" spans="1:29">
      <c r="A146" s="18">
        <v>45504</v>
      </c>
      <c r="B146" s="37">
        <f t="shared" si="0"/>
        <v>0</v>
      </c>
      <c r="C146" s="29"/>
      <c r="D146" s="29">
        <v>0</v>
      </c>
      <c r="E146" s="38"/>
      <c r="F146" s="39"/>
      <c r="G146" s="47"/>
      <c r="H146" s="24">
        <f t="shared" si="1"/>
        <v>443226.66666666669</v>
      </c>
      <c r="I146" s="41">
        <f t="shared" si="45"/>
        <v>440000</v>
      </c>
      <c r="J146" s="29">
        <f t="shared" si="46"/>
        <v>3226.6666666666665</v>
      </c>
      <c r="K146" s="42"/>
      <c r="L146" s="33">
        <f t="shared" si="2"/>
        <v>0</v>
      </c>
      <c r="M146" s="196"/>
      <c r="N146" s="29">
        <f t="shared" si="49"/>
        <v>3226.6666666666665</v>
      </c>
      <c r="O146" s="30"/>
      <c r="P146" s="43"/>
      <c r="Q146" s="44"/>
      <c r="R146" s="33"/>
      <c r="V146" s="45"/>
      <c r="W146" s="7"/>
      <c r="X146" s="7"/>
      <c r="Y146" s="46"/>
      <c r="Z146" s="7">
        <f t="shared" si="52"/>
        <v>0</v>
      </c>
      <c r="AA146" s="7"/>
      <c r="AC146" s="7"/>
    </row>
    <row r="147" spans="1:29">
      <c r="A147" s="18">
        <v>45524</v>
      </c>
      <c r="B147" s="37">
        <f t="shared" si="0"/>
        <v>-48335.555555555555</v>
      </c>
      <c r="C147" s="29">
        <v>-40000</v>
      </c>
      <c r="D147" s="29">
        <f t="shared" ref="D147" si="79">-I145*O$4*(A147-A145)/360</f>
        <v>-8335.5555555555547</v>
      </c>
      <c r="E147" s="38"/>
      <c r="F147" s="39"/>
      <c r="G147" s="47"/>
      <c r="H147" s="24">
        <f t="shared" si="1"/>
        <v>400000</v>
      </c>
      <c r="I147" s="41">
        <f t="shared" si="45"/>
        <v>400000</v>
      </c>
      <c r="J147" s="29">
        <f t="shared" si="46"/>
        <v>0</v>
      </c>
      <c r="K147" s="42"/>
      <c r="L147" s="33">
        <f t="shared" si="2"/>
        <v>0</v>
      </c>
      <c r="M147" s="196"/>
      <c r="N147" s="29">
        <f t="shared" si="48"/>
        <v>5108.8888888888887</v>
      </c>
      <c r="O147" s="30"/>
      <c r="P147" s="43"/>
      <c r="Q147" s="44"/>
      <c r="R147" s="33"/>
      <c r="V147" s="45"/>
      <c r="W147" s="7"/>
      <c r="X147" s="7"/>
      <c r="Y147" s="46"/>
      <c r="Z147" s="7"/>
      <c r="AA147" s="7"/>
      <c r="AC147" s="7"/>
    </row>
    <row r="148" spans="1:29">
      <c r="A148" s="18">
        <v>45535</v>
      </c>
      <c r="B148" s="37">
        <f t="shared" si="0"/>
        <v>0</v>
      </c>
      <c r="C148" s="29"/>
      <c r="D148" s="29">
        <v>0</v>
      </c>
      <c r="E148" s="38"/>
      <c r="F148" s="39"/>
      <c r="G148" s="47"/>
      <c r="H148" s="24">
        <f t="shared" si="1"/>
        <v>402933.33333333331</v>
      </c>
      <c r="I148" s="41">
        <f t="shared" si="45"/>
        <v>400000</v>
      </c>
      <c r="J148" s="29">
        <f t="shared" si="46"/>
        <v>2933.3333333333335</v>
      </c>
      <c r="K148" s="42"/>
      <c r="L148" s="33">
        <f t="shared" si="2"/>
        <v>0</v>
      </c>
      <c r="M148" s="196"/>
      <c r="N148" s="29">
        <f t="shared" si="49"/>
        <v>2933.3333333333335</v>
      </c>
      <c r="O148" s="30"/>
      <c r="P148" s="43"/>
      <c r="Q148" s="44"/>
      <c r="R148" s="33"/>
      <c r="V148" s="45"/>
      <c r="W148" s="7"/>
      <c r="X148" s="7"/>
      <c r="Y148" s="46"/>
      <c r="Z148" s="7">
        <f t="shared" si="52"/>
        <v>0</v>
      </c>
      <c r="AA148" s="7"/>
      <c r="AC148" s="7"/>
    </row>
    <row r="149" spans="1:29">
      <c r="A149" s="18">
        <v>45555</v>
      </c>
      <c r="B149" s="37">
        <f t="shared" si="0"/>
        <v>-47577.777777777781</v>
      </c>
      <c r="C149" s="29">
        <v>-40000</v>
      </c>
      <c r="D149" s="29">
        <f t="shared" ref="D149" si="80">-I147*O$4*(A149-A147)/360</f>
        <v>-7577.7777777777774</v>
      </c>
      <c r="E149" s="38"/>
      <c r="F149" s="39"/>
      <c r="G149" s="47"/>
      <c r="H149" s="24">
        <f t="shared" si="1"/>
        <v>360000</v>
      </c>
      <c r="I149" s="41">
        <f t="shared" si="45"/>
        <v>360000</v>
      </c>
      <c r="J149" s="29">
        <f t="shared" si="46"/>
        <v>0</v>
      </c>
      <c r="K149" s="42"/>
      <c r="L149" s="33">
        <f t="shared" si="2"/>
        <v>0</v>
      </c>
      <c r="M149" s="196"/>
      <c r="N149" s="29">
        <f t="shared" si="48"/>
        <v>4644.4444444444443</v>
      </c>
      <c r="O149" s="30"/>
      <c r="P149" s="43"/>
      <c r="Q149" s="44"/>
      <c r="R149" s="33"/>
      <c r="V149" s="45"/>
      <c r="W149" s="7"/>
      <c r="X149" s="7"/>
      <c r="Y149" s="46"/>
      <c r="Z149" s="7"/>
      <c r="AA149" s="7"/>
      <c r="AC149" s="7"/>
    </row>
    <row r="150" spans="1:29">
      <c r="A150" s="18">
        <v>45565</v>
      </c>
      <c r="B150" s="37">
        <f t="shared" si="0"/>
        <v>0</v>
      </c>
      <c r="C150" s="29"/>
      <c r="D150" s="29">
        <v>0</v>
      </c>
      <c r="E150" s="38"/>
      <c r="F150" s="39"/>
      <c r="G150" s="47"/>
      <c r="H150" s="24">
        <f t="shared" si="1"/>
        <v>362420</v>
      </c>
      <c r="I150" s="41">
        <f t="shared" si="45"/>
        <v>360000</v>
      </c>
      <c r="J150" s="29">
        <f t="shared" si="46"/>
        <v>2420</v>
      </c>
      <c r="K150" s="42"/>
      <c r="L150" s="33">
        <f t="shared" si="2"/>
        <v>0</v>
      </c>
      <c r="M150" s="196"/>
      <c r="N150" s="29">
        <f t="shared" si="49"/>
        <v>2420</v>
      </c>
      <c r="O150" s="30"/>
      <c r="P150" s="43"/>
      <c r="Q150" s="44"/>
      <c r="R150" s="33"/>
      <c r="V150" s="45"/>
      <c r="W150" s="7"/>
      <c r="X150" s="7"/>
      <c r="Y150" s="46"/>
      <c r="Z150" s="7">
        <f t="shared" si="52"/>
        <v>0</v>
      </c>
      <c r="AA150" s="7"/>
      <c r="AC150" s="7"/>
    </row>
    <row r="151" spans="1:29">
      <c r="A151" s="18">
        <v>45585</v>
      </c>
      <c r="B151" s="37">
        <f t="shared" si="0"/>
        <v>-46600</v>
      </c>
      <c r="C151" s="29">
        <v>-40000</v>
      </c>
      <c r="D151" s="29">
        <f t="shared" ref="D151" si="81">-I149*O$4*(A151-A149)/360</f>
        <v>-6600</v>
      </c>
      <c r="E151" s="38"/>
      <c r="F151" s="39"/>
      <c r="G151" s="47"/>
      <c r="H151" s="24">
        <f t="shared" si="1"/>
        <v>320000</v>
      </c>
      <c r="I151" s="41">
        <f t="shared" ref="I151:I167" si="82">I150+C151</f>
        <v>320000</v>
      </c>
      <c r="J151" s="29">
        <f t="shared" ref="J151:J167" si="83">J150+N151+D151</f>
        <v>0</v>
      </c>
      <c r="K151" s="42"/>
      <c r="L151" s="33">
        <f t="shared" si="2"/>
        <v>0</v>
      </c>
      <c r="M151" s="196"/>
      <c r="N151" s="29">
        <f t="shared" si="48"/>
        <v>4180</v>
      </c>
      <c r="O151" s="30"/>
      <c r="P151" s="43"/>
      <c r="Q151" s="44"/>
      <c r="R151" s="33"/>
      <c r="V151" s="45"/>
      <c r="W151" s="7"/>
      <c r="X151" s="7"/>
      <c r="Y151" s="46"/>
      <c r="Z151" s="7"/>
      <c r="AA151" s="7"/>
      <c r="AC151" s="7"/>
    </row>
    <row r="152" spans="1:29">
      <c r="A152" s="18">
        <v>45596</v>
      </c>
      <c r="B152" s="37">
        <f t="shared" si="0"/>
        <v>0</v>
      </c>
      <c r="C152" s="29"/>
      <c r="D152" s="29">
        <v>0</v>
      </c>
      <c r="E152" s="38"/>
      <c r="F152" s="39"/>
      <c r="G152" s="47"/>
      <c r="H152" s="24">
        <f t="shared" si="1"/>
        <v>322346.66666666669</v>
      </c>
      <c r="I152" s="41">
        <f t="shared" si="82"/>
        <v>320000</v>
      </c>
      <c r="J152" s="29">
        <f t="shared" si="83"/>
        <v>2346.6666666666665</v>
      </c>
      <c r="K152" s="42"/>
      <c r="L152" s="33">
        <f t="shared" si="2"/>
        <v>0</v>
      </c>
      <c r="M152" s="196"/>
      <c r="N152" s="29">
        <f t="shared" si="49"/>
        <v>2346.6666666666665</v>
      </c>
      <c r="O152" s="30"/>
      <c r="P152" s="43"/>
      <c r="Q152" s="44"/>
      <c r="R152" s="33"/>
      <c r="V152" s="45"/>
      <c r="W152" s="7"/>
      <c r="X152" s="7"/>
      <c r="Y152" s="46"/>
      <c r="Z152" s="7">
        <f t="shared" si="52"/>
        <v>0</v>
      </c>
      <c r="AA152" s="7"/>
      <c r="AC152" s="7"/>
    </row>
    <row r="153" spans="1:29">
      <c r="A153" s="18">
        <v>45616</v>
      </c>
      <c r="B153" s="37">
        <f t="shared" si="0"/>
        <v>-46062.222222222219</v>
      </c>
      <c r="C153" s="29">
        <v>-40000</v>
      </c>
      <c r="D153" s="29">
        <f t="shared" ref="D153" si="84">-I151*O$4*(A153-A151)/360</f>
        <v>-6062.2222222222226</v>
      </c>
      <c r="E153" s="38"/>
      <c r="F153" s="39"/>
      <c r="G153" s="47"/>
      <c r="H153" s="24">
        <f t="shared" si="1"/>
        <v>280000</v>
      </c>
      <c r="I153" s="41">
        <f t="shared" si="82"/>
        <v>280000</v>
      </c>
      <c r="J153" s="29">
        <f t="shared" si="83"/>
        <v>0</v>
      </c>
      <c r="K153" s="42"/>
      <c r="L153" s="33">
        <f t="shared" si="2"/>
        <v>0</v>
      </c>
      <c r="M153" s="196"/>
      <c r="N153" s="29">
        <f t="shared" ref="N153:N166" si="85">I152*O$4*(A153-A152-1)/360</f>
        <v>3715.5555555555557</v>
      </c>
      <c r="O153" s="30"/>
      <c r="P153" s="43"/>
      <c r="Q153" s="44"/>
      <c r="R153" s="33"/>
      <c r="V153" s="45"/>
      <c r="W153" s="7"/>
      <c r="X153" s="7"/>
      <c r="Y153" s="46"/>
      <c r="Z153" s="7"/>
      <c r="AA153" s="7"/>
      <c r="AC153" s="7"/>
    </row>
    <row r="154" spans="1:29">
      <c r="A154" s="18">
        <v>45626</v>
      </c>
      <c r="B154" s="37">
        <f t="shared" si="0"/>
        <v>0</v>
      </c>
      <c r="C154" s="29"/>
      <c r="D154" s="29">
        <v>0</v>
      </c>
      <c r="E154" s="38"/>
      <c r="F154" s="39"/>
      <c r="G154" s="47"/>
      <c r="H154" s="24">
        <f t="shared" si="1"/>
        <v>281882.22222222225</v>
      </c>
      <c r="I154" s="41">
        <f t="shared" si="82"/>
        <v>280000</v>
      </c>
      <c r="J154" s="29">
        <f t="shared" si="83"/>
        <v>1882.2222222222222</v>
      </c>
      <c r="K154" s="42"/>
      <c r="L154" s="33">
        <f t="shared" si="2"/>
        <v>0</v>
      </c>
      <c r="M154" s="196"/>
      <c r="N154" s="29">
        <f t="shared" ref="N154:N166" si="86">I153*O$4*(A154-A153+1)/360</f>
        <v>1882.2222222222222</v>
      </c>
      <c r="O154" s="30"/>
      <c r="P154" s="43"/>
      <c r="Q154" s="44"/>
      <c r="R154" s="33"/>
      <c r="V154" s="45"/>
      <c r="W154" s="7"/>
      <c r="X154" s="7"/>
      <c r="Y154" s="46"/>
      <c r="Z154" s="7">
        <f t="shared" si="52"/>
        <v>0</v>
      </c>
      <c r="AA154" s="7"/>
      <c r="AC154" s="7"/>
    </row>
    <row r="155" spans="1:29">
      <c r="A155" s="18">
        <v>45646</v>
      </c>
      <c r="B155" s="37">
        <f t="shared" si="0"/>
        <v>-45133.333333333336</v>
      </c>
      <c r="C155" s="29">
        <v>-40000</v>
      </c>
      <c r="D155" s="29">
        <f t="shared" ref="D155" si="87">-I153*O$4*(A155-A153)/360</f>
        <v>-5133.333333333333</v>
      </c>
      <c r="E155" s="38"/>
      <c r="F155" s="39"/>
      <c r="G155" s="47"/>
      <c r="H155" s="24">
        <f t="shared" si="1"/>
        <v>240000</v>
      </c>
      <c r="I155" s="41">
        <f t="shared" si="82"/>
        <v>240000</v>
      </c>
      <c r="J155" s="29">
        <f t="shared" si="83"/>
        <v>0</v>
      </c>
      <c r="K155" s="42"/>
      <c r="L155" s="33">
        <f t="shared" si="2"/>
        <v>0</v>
      </c>
      <c r="M155" s="196"/>
      <c r="N155" s="29">
        <f t="shared" si="85"/>
        <v>3251.1111111111113</v>
      </c>
      <c r="O155" s="30"/>
      <c r="P155" s="43"/>
      <c r="Q155" s="44"/>
      <c r="R155" s="33"/>
      <c r="V155" s="45"/>
      <c r="W155" s="7"/>
      <c r="X155" s="7"/>
      <c r="Y155" s="46"/>
      <c r="Z155" s="7"/>
      <c r="AA155" s="7"/>
      <c r="AC155" s="7"/>
    </row>
    <row r="156" spans="1:29">
      <c r="A156" s="18">
        <v>45657</v>
      </c>
      <c r="B156" s="37">
        <f t="shared" si="0"/>
        <v>0</v>
      </c>
      <c r="C156" s="29"/>
      <c r="D156" s="29">
        <v>0</v>
      </c>
      <c r="E156" s="38"/>
      <c r="F156" s="39"/>
      <c r="G156" s="47"/>
      <c r="H156" s="24">
        <f t="shared" si="1"/>
        <v>241760</v>
      </c>
      <c r="I156" s="41">
        <f t="shared" si="82"/>
        <v>240000</v>
      </c>
      <c r="J156" s="29">
        <f t="shared" si="83"/>
        <v>1760</v>
      </c>
      <c r="K156" s="42"/>
      <c r="L156" s="33">
        <f t="shared" si="2"/>
        <v>0</v>
      </c>
      <c r="M156" s="196"/>
      <c r="N156" s="29">
        <f t="shared" si="86"/>
        <v>1760</v>
      </c>
      <c r="O156" s="30"/>
      <c r="P156" s="43"/>
      <c r="Q156" s="44"/>
      <c r="R156" s="33"/>
      <c r="V156" s="45"/>
      <c r="W156" s="7"/>
      <c r="X156" s="7"/>
      <c r="Y156" s="46"/>
      <c r="Z156" s="7">
        <f t="shared" si="52"/>
        <v>0</v>
      </c>
      <c r="AA156" s="7"/>
      <c r="AC156" s="7"/>
    </row>
    <row r="157" spans="1:29">
      <c r="A157" s="18">
        <v>45677</v>
      </c>
      <c r="B157" s="37">
        <f t="shared" si="0"/>
        <v>-44546.666666666664</v>
      </c>
      <c r="C157" s="29">
        <v>-40000</v>
      </c>
      <c r="D157" s="29">
        <f t="shared" ref="D157" si="88">-I155*O$4*(A157-A155)/360</f>
        <v>-4546.666666666667</v>
      </c>
      <c r="E157" s="38"/>
      <c r="F157" s="39"/>
      <c r="G157" s="47"/>
      <c r="H157" s="24">
        <f t="shared" si="1"/>
        <v>200000</v>
      </c>
      <c r="I157" s="41">
        <f t="shared" si="82"/>
        <v>200000</v>
      </c>
      <c r="J157" s="29">
        <f t="shared" si="83"/>
        <v>0</v>
      </c>
      <c r="K157" s="42"/>
      <c r="L157" s="33">
        <f t="shared" si="2"/>
        <v>0</v>
      </c>
      <c r="M157" s="196"/>
      <c r="N157" s="29">
        <f t="shared" si="85"/>
        <v>2786.6666666666665</v>
      </c>
      <c r="O157" s="30"/>
      <c r="P157" s="43"/>
      <c r="Q157" s="44"/>
      <c r="R157" s="33"/>
      <c r="V157" s="45"/>
      <c r="W157" s="7"/>
      <c r="X157" s="7"/>
      <c r="Y157" s="46"/>
      <c r="Z157" s="7"/>
      <c r="AA157" s="7"/>
      <c r="AC157" s="7"/>
    </row>
    <row r="158" spans="1:29">
      <c r="A158" s="18">
        <v>45688</v>
      </c>
      <c r="B158" s="37">
        <f t="shared" si="0"/>
        <v>0</v>
      </c>
      <c r="C158" s="29"/>
      <c r="D158" s="29">
        <v>0</v>
      </c>
      <c r="E158" s="38"/>
      <c r="F158" s="39"/>
      <c r="G158" s="47"/>
      <c r="H158" s="24">
        <f t="shared" si="1"/>
        <v>201466.66666666666</v>
      </c>
      <c r="I158" s="41">
        <f t="shared" si="82"/>
        <v>200000</v>
      </c>
      <c r="J158" s="29">
        <f t="shared" si="83"/>
        <v>1466.6666666666667</v>
      </c>
      <c r="K158" s="42"/>
      <c r="L158" s="33">
        <f t="shared" si="2"/>
        <v>0</v>
      </c>
      <c r="M158" s="196"/>
      <c r="N158" s="29">
        <f t="shared" si="86"/>
        <v>1466.6666666666667</v>
      </c>
      <c r="O158" s="30"/>
      <c r="P158" s="43"/>
      <c r="Q158" s="44"/>
      <c r="R158" s="33"/>
      <c r="V158" s="45"/>
      <c r="W158" s="7"/>
      <c r="X158" s="7"/>
      <c r="Y158" s="46"/>
      <c r="Z158" s="7">
        <f t="shared" ref="Z158:Z166" si="89">M158+M157</f>
        <v>0</v>
      </c>
      <c r="AA158" s="7"/>
      <c r="AC158" s="7"/>
    </row>
    <row r="159" spans="1:29">
      <c r="A159" s="18">
        <v>45708</v>
      </c>
      <c r="B159" s="37">
        <f t="shared" si="0"/>
        <v>-43788.888888888891</v>
      </c>
      <c r="C159" s="29">
        <v>-40000</v>
      </c>
      <c r="D159" s="29">
        <f t="shared" ref="D159" si="90">-I157*O$4*(A159-A157)/360</f>
        <v>-3788.8888888888887</v>
      </c>
      <c r="E159" s="38"/>
      <c r="F159" s="39"/>
      <c r="G159" s="47"/>
      <c r="H159" s="24">
        <f t="shared" si="1"/>
        <v>160000</v>
      </c>
      <c r="I159" s="41">
        <f t="shared" si="82"/>
        <v>160000</v>
      </c>
      <c r="J159" s="29">
        <f t="shared" si="83"/>
        <v>0</v>
      </c>
      <c r="K159" s="42"/>
      <c r="L159" s="33">
        <f t="shared" si="2"/>
        <v>0</v>
      </c>
      <c r="M159" s="196"/>
      <c r="N159" s="29">
        <f t="shared" si="85"/>
        <v>2322.2222222222222</v>
      </c>
      <c r="O159" s="30"/>
      <c r="P159" s="43"/>
      <c r="Q159" s="44"/>
      <c r="R159" s="33"/>
      <c r="V159" s="45"/>
      <c r="W159" s="7"/>
      <c r="X159" s="7"/>
      <c r="Y159" s="46"/>
      <c r="Z159" s="7"/>
      <c r="AA159" s="7"/>
      <c r="AC159" s="7"/>
    </row>
    <row r="160" spans="1:29">
      <c r="A160" s="18">
        <v>45716</v>
      </c>
      <c r="B160" s="37">
        <f t="shared" si="0"/>
        <v>0</v>
      </c>
      <c r="C160" s="29"/>
      <c r="D160" s="29">
        <v>0</v>
      </c>
      <c r="E160" s="38"/>
      <c r="F160" s="39"/>
      <c r="G160" s="47"/>
      <c r="H160" s="24">
        <f t="shared" si="1"/>
        <v>160880</v>
      </c>
      <c r="I160" s="41">
        <f t="shared" si="82"/>
        <v>160000</v>
      </c>
      <c r="J160" s="29">
        <f t="shared" si="83"/>
        <v>880</v>
      </c>
      <c r="K160" s="42"/>
      <c r="L160" s="33">
        <f t="shared" si="2"/>
        <v>0</v>
      </c>
      <c r="M160" s="196"/>
      <c r="N160" s="29">
        <f t="shared" si="86"/>
        <v>880</v>
      </c>
      <c r="O160" s="30"/>
      <c r="P160" s="43"/>
      <c r="Q160" s="44"/>
      <c r="R160" s="33"/>
      <c r="V160" s="45"/>
      <c r="W160" s="7"/>
      <c r="X160" s="7"/>
      <c r="Y160" s="46"/>
      <c r="Z160" s="7">
        <f t="shared" si="89"/>
        <v>0</v>
      </c>
      <c r="AA160" s="7"/>
      <c r="AC160" s="7"/>
    </row>
    <row r="161" spans="1:29">
      <c r="A161" s="18">
        <v>45736</v>
      </c>
      <c r="B161" s="37">
        <f t="shared" si="0"/>
        <v>-42737.777777777781</v>
      </c>
      <c r="C161" s="29">
        <v>-40000</v>
      </c>
      <c r="D161" s="29">
        <f t="shared" ref="D161" si="91">-I159*O$4*(A161-A159)/360</f>
        <v>-2737.7777777777778</v>
      </c>
      <c r="E161" s="38"/>
      <c r="F161" s="39"/>
      <c r="G161" s="47"/>
      <c r="H161" s="24">
        <f t="shared" si="1"/>
        <v>120000</v>
      </c>
      <c r="I161" s="41">
        <f t="shared" si="82"/>
        <v>120000</v>
      </c>
      <c r="J161" s="29">
        <f t="shared" si="83"/>
        <v>0</v>
      </c>
      <c r="K161" s="42"/>
      <c r="L161" s="33">
        <f t="shared" si="2"/>
        <v>0</v>
      </c>
      <c r="M161" s="196"/>
      <c r="N161" s="29">
        <f t="shared" si="85"/>
        <v>1857.7777777777778</v>
      </c>
      <c r="O161" s="30"/>
      <c r="P161" s="43"/>
      <c r="Q161" s="44"/>
      <c r="R161" s="33"/>
      <c r="V161" s="45"/>
      <c r="W161" s="7"/>
      <c r="X161" s="7"/>
      <c r="Y161" s="46"/>
      <c r="Z161" s="7"/>
      <c r="AA161" s="7"/>
      <c r="AC161" s="7"/>
    </row>
    <row r="162" spans="1:29">
      <c r="A162" s="18">
        <v>45747</v>
      </c>
      <c r="B162" s="37">
        <f t="shared" si="0"/>
        <v>0</v>
      </c>
      <c r="C162" s="29"/>
      <c r="D162" s="29">
        <v>0</v>
      </c>
      <c r="E162" s="38"/>
      <c r="F162" s="39"/>
      <c r="G162" s="47"/>
      <c r="H162" s="24">
        <f t="shared" si="1"/>
        <v>120880</v>
      </c>
      <c r="I162" s="41">
        <f t="shared" si="82"/>
        <v>120000</v>
      </c>
      <c r="J162" s="29">
        <f t="shared" si="83"/>
        <v>880</v>
      </c>
      <c r="K162" s="42"/>
      <c r="L162" s="33">
        <f t="shared" si="2"/>
        <v>0</v>
      </c>
      <c r="M162" s="196"/>
      <c r="N162" s="29">
        <f t="shared" si="86"/>
        <v>880</v>
      </c>
      <c r="O162" s="30"/>
      <c r="P162" s="43">
        <v>0</v>
      </c>
      <c r="Q162" s="44">
        <f>M162/H30</f>
        <v>0</v>
      </c>
      <c r="R162" s="33"/>
      <c r="S162" s="2">
        <f>N31+N162-D162</f>
        <v>32926.666666666672</v>
      </c>
      <c r="T162" s="7">
        <f>O162+O31</f>
        <v>0</v>
      </c>
      <c r="U162" s="7">
        <f>M31+M162</f>
        <v>0</v>
      </c>
      <c r="V162" s="45" t="e">
        <f>N162-#REF!</f>
        <v>#REF!</v>
      </c>
      <c r="W162" s="7" t="e">
        <f>J162-#REF!</f>
        <v>#REF!</v>
      </c>
      <c r="X162" s="7"/>
      <c r="Z162" s="7">
        <f t="shared" si="89"/>
        <v>0</v>
      </c>
      <c r="AA162" s="7"/>
      <c r="AC162" s="7"/>
    </row>
    <row r="163" spans="1:29">
      <c r="A163" s="18">
        <v>45767</v>
      </c>
      <c r="B163" s="37">
        <f t="shared" si="0"/>
        <v>-42273.333333333336</v>
      </c>
      <c r="C163" s="29">
        <v>-40000</v>
      </c>
      <c r="D163" s="29">
        <f t="shared" ref="D163" si="92">-I161*O$4*(A163-A161)/360</f>
        <v>-2273.3333333333335</v>
      </c>
      <c r="E163" s="38"/>
      <c r="F163" s="39"/>
      <c r="G163" s="47"/>
      <c r="H163" s="24">
        <f t="shared" si="1"/>
        <v>80000</v>
      </c>
      <c r="I163" s="41">
        <f t="shared" si="82"/>
        <v>80000</v>
      </c>
      <c r="J163" s="29">
        <f t="shared" si="83"/>
        <v>0</v>
      </c>
      <c r="K163" s="42"/>
      <c r="L163" s="33">
        <f t="shared" si="2"/>
        <v>0</v>
      </c>
      <c r="M163" s="196"/>
      <c r="N163" s="29">
        <f t="shared" si="85"/>
        <v>1393.3333333333333</v>
      </c>
      <c r="O163" s="30"/>
      <c r="P163" s="43">
        <v>0</v>
      </c>
      <c r="Q163" s="44"/>
      <c r="R163" s="33"/>
      <c r="V163" s="45" t="e">
        <f>N163-#REF!</f>
        <v>#REF!</v>
      </c>
      <c r="W163" s="7" t="e">
        <f>J163-#REF!</f>
        <v>#REF!</v>
      </c>
      <c r="X163" s="7">
        <f>ROUND((O162+O163),2)</f>
        <v>0</v>
      </c>
      <c r="Y163" s="46" t="s">
        <v>28</v>
      </c>
      <c r="Z163" s="7"/>
      <c r="AA163" s="7"/>
      <c r="AC163" s="7"/>
    </row>
    <row r="164" spans="1:29">
      <c r="A164" s="18">
        <v>45777</v>
      </c>
      <c r="B164" s="37">
        <f t="shared" si="0"/>
        <v>0</v>
      </c>
      <c r="C164" s="29"/>
      <c r="D164" s="29">
        <v>0</v>
      </c>
      <c r="E164" s="38"/>
      <c r="F164" s="39"/>
      <c r="G164" s="47"/>
      <c r="H164" s="24">
        <f t="shared" si="1"/>
        <v>80537.777777777781</v>
      </c>
      <c r="I164" s="41">
        <f t="shared" si="82"/>
        <v>80000</v>
      </c>
      <c r="J164" s="29">
        <f t="shared" si="83"/>
        <v>537.77777777777783</v>
      </c>
      <c r="K164" s="42"/>
      <c r="L164" s="33">
        <f t="shared" si="2"/>
        <v>0</v>
      </c>
      <c r="M164" s="196"/>
      <c r="N164" s="29">
        <f t="shared" si="86"/>
        <v>537.77777777777783</v>
      </c>
      <c r="O164" s="30"/>
      <c r="P164" s="43">
        <v>0</v>
      </c>
      <c r="Q164" s="44">
        <f>M164/H162</f>
        <v>0</v>
      </c>
      <c r="R164" s="33"/>
      <c r="S164" s="2">
        <f>N163+N164-D164</f>
        <v>1931.1111111111111</v>
      </c>
      <c r="T164" s="7">
        <f>O164+O163</f>
        <v>0</v>
      </c>
      <c r="U164" s="7">
        <f>M163+M164</f>
        <v>0</v>
      </c>
      <c r="V164" s="45" t="e">
        <f>N164-#REF!</f>
        <v>#REF!</v>
      </c>
      <c r="W164" s="7" t="e">
        <f>J164-#REF!</f>
        <v>#REF!</v>
      </c>
      <c r="X164" s="7"/>
      <c r="Z164" s="7">
        <f t="shared" si="89"/>
        <v>0</v>
      </c>
      <c r="AA164" s="7"/>
      <c r="AC164" s="7"/>
    </row>
    <row r="165" spans="1:29">
      <c r="A165" s="18">
        <v>45797</v>
      </c>
      <c r="B165" s="37">
        <f t="shared" si="0"/>
        <v>-41466.666666666664</v>
      </c>
      <c r="C165" s="29">
        <v>-40000</v>
      </c>
      <c r="D165" s="29">
        <f t="shared" ref="D165" si="93">-I163*O$4*(A165-A163)/360</f>
        <v>-1466.6666666666667</v>
      </c>
      <c r="E165" s="38"/>
      <c r="F165" s="39"/>
      <c r="G165" s="47"/>
      <c r="H165" s="24">
        <f t="shared" si="1"/>
        <v>40000</v>
      </c>
      <c r="I165" s="41">
        <f t="shared" si="82"/>
        <v>40000</v>
      </c>
      <c r="J165" s="29">
        <f t="shared" si="83"/>
        <v>0</v>
      </c>
      <c r="K165" s="42"/>
      <c r="L165" s="33">
        <f t="shared" si="2"/>
        <v>0</v>
      </c>
      <c r="M165" s="196"/>
      <c r="N165" s="29">
        <f t="shared" si="85"/>
        <v>928.88888888888891</v>
      </c>
      <c r="O165" s="30"/>
      <c r="P165" s="43">
        <v>0</v>
      </c>
      <c r="Q165" s="44"/>
      <c r="R165" s="33"/>
      <c r="V165" s="45" t="e">
        <f>N165-#REF!</f>
        <v>#REF!</v>
      </c>
      <c r="W165" s="7" t="e">
        <f>J165-#REF!</f>
        <v>#REF!</v>
      </c>
      <c r="X165" s="7">
        <f>ROUND((O164+O165),2)</f>
        <v>0</v>
      </c>
      <c r="Y165" s="46" t="s">
        <v>28</v>
      </c>
      <c r="Z165" s="7"/>
      <c r="AA165" s="7"/>
      <c r="AC165" s="7"/>
    </row>
    <row r="166" spans="1:29">
      <c r="A166" s="18">
        <v>45808</v>
      </c>
      <c r="B166" s="37">
        <f t="shared" si="0"/>
        <v>0</v>
      </c>
      <c r="C166" s="29"/>
      <c r="D166" s="29">
        <v>0</v>
      </c>
      <c r="E166" s="38"/>
      <c r="F166" s="39"/>
      <c r="G166" s="47"/>
      <c r="H166" s="24">
        <f t="shared" si="1"/>
        <v>40293.333333333336</v>
      </c>
      <c r="I166" s="41">
        <f t="shared" si="82"/>
        <v>40000</v>
      </c>
      <c r="J166" s="29">
        <f t="shared" si="83"/>
        <v>293.33333333333331</v>
      </c>
      <c r="K166" s="42"/>
      <c r="L166" s="33">
        <f t="shared" si="2"/>
        <v>0</v>
      </c>
      <c r="M166" s="196"/>
      <c r="N166" s="29">
        <f t="shared" si="86"/>
        <v>293.33333333333331</v>
      </c>
      <c r="O166" s="30"/>
      <c r="P166" s="43">
        <v>0</v>
      </c>
      <c r="Q166" s="44">
        <f>M166/H164</f>
        <v>0</v>
      </c>
      <c r="R166" s="33"/>
      <c r="S166" s="2">
        <f>N165+N166-D166</f>
        <v>1222.2222222222222</v>
      </c>
      <c r="T166" s="7">
        <f>O166+O165</f>
        <v>0</v>
      </c>
      <c r="U166" s="7">
        <f>M165+M166</f>
        <v>0</v>
      </c>
      <c r="V166" s="45" t="e">
        <f>N166-#REF!</f>
        <v>#REF!</v>
      </c>
      <c r="W166" s="7" t="e">
        <f>J166-#REF!</f>
        <v>#REF!</v>
      </c>
      <c r="X166" s="7"/>
      <c r="Z166" s="7">
        <f t="shared" si="89"/>
        <v>0</v>
      </c>
      <c r="AA166" s="7"/>
      <c r="AC166" s="7"/>
    </row>
    <row r="167" spans="1:29" ht="15.75" thickBot="1">
      <c r="A167" s="18">
        <v>45828</v>
      </c>
      <c r="B167" s="37">
        <f t="shared" si="0"/>
        <v>-40757.777777777781</v>
      </c>
      <c r="C167" s="29">
        <v>-40000</v>
      </c>
      <c r="D167" s="29">
        <f>-I165*O$4*(A167-A165)/360</f>
        <v>-757.77777777777783</v>
      </c>
      <c r="E167" s="38"/>
      <c r="F167" s="39"/>
      <c r="G167" s="47"/>
      <c r="H167" s="24">
        <f t="shared" si="1"/>
        <v>0</v>
      </c>
      <c r="I167" s="41">
        <f t="shared" si="82"/>
        <v>0</v>
      </c>
      <c r="J167" s="29">
        <f t="shared" si="83"/>
        <v>0</v>
      </c>
      <c r="K167" s="42"/>
      <c r="L167" s="33">
        <f t="shared" si="2"/>
        <v>0</v>
      </c>
      <c r="M167" s="196"/>
      <c r="N167" s="29">
        <f>I166*O$4*(A167-A166-1)/360</f>
        <v>464.44444444444446</v>
      </c>
      <c r="O167" s="30"/>
      <c r="P167" s="43">
        <v>0</v>
      </c>
      <c r="Q167" s="44"/>
      <c r="R167" s="33"/>
      <c r="V167" s="45" t="e">
        <f>N167-#REF!</f>
        <v>#REF!</v>
      </c>
      <c r="W167" s="7" t="e">
        <f>J167-#REF!</f>
        <v>#REF!</v>
      </c>
      <c r="X167" s="7">
        <f>ROUND((O166+O167),2)</f>
        <v>0</v>
      </c>
      <c r="Y167" s="46" t="s">
        <v>28</v>
      </c>
      <c r="Z167" s="7"/>
      <c r="AA167" s="7"/>
      <c r="AC167" s="7"/>
    </row>
    <row r="168" spans="1:29" ht="16.5" thickTop="1" thickBot="1">
      <c r="A168" s="48" t="s">
        <v>29</v>
      </c>
      <c r="B168" s="49">
        <f>SUM(B20:B167)</f>
        <v>-4929748.8888888909</v>
      </c>
      <c r="C168" s="49">
        <f>SUM(C20:C167)</f>
        <v>-2920000</v>
      </c>
      <c r="D168" s="49">
        <f>SUM(D20:D167)</f>
        <v>-2009748.888888889</v>
      </c>
      <c r="E168" s="50" t="s">
        <v>30</v>
      </c>
      <c r="F168" s="51" t="s">
        <v>30</v>
      </c>
      <c r="G168" s="52"/>
      <c r="H168" s="53" t="s">
        <v>30</v>
      </c>
      <c r="I168" s="54" t="s">
        <v>30</v>
      </c>
      <c r="J168" s="55" t="s">
        <v>30</v>
      </c>
      <c r="K168" s="56" t="s">
        <v>30</v>
      </c>
      <c r="L168" s="54" t="s">
        <v>30</v>
      </c>
      <c r="M168" s="197">
        <f>SUM(M13:M167)</f>
        <v>107362.09189303836</v>
      </c>
      <c r="N168" s="58">
        <f>SUM(N21:N167)</f>
        <v>2009748.8888888892</v>
      </c>
      <c r="O168" s="59">
        <f>SUM(O20:O167)</f>
        <v>0</v>
      </c>
      <c r="P168" s="60">
        <f>SUM(P16:P167)</f>
        <v>0</v>
      </c>
      <c r="Q168" s="61" t="s">
        <v>24</v>
      </c>
      <c r="R168" s="33"/>
      <c r="S168" s="62">
        <f>SUM(S13:S167)</f>
        <v>346911.11111111118</v>
      </c>
      <c r="X168" s="7"/>
      <c r="Z168" s="7"/>
      <c r="AA168" s="7"/>
    </row>
    <row r="169" spans="1:29">
      <c r="C169" s="7"/>
      <c r="D169" s="7"/>
      <c r="N169" s="63"/>
      <c r="O169" s="64"/>
      <c r="P169" s="65"/>
      <c r="Z169" s="7"/>
    </row>
    <row r="170" spans="1:29">
      <c r="A170" s="189" t="s">
        <v>56</v>
      </c>
      <c r="H170" s="190">
        <f>H167</f>
        <v>0</v>
      </c>
      <c r="K170" s="190">
        <f>K167</f>
        <v>0</v>
      </c>
      <c r="N170" s="190">
        <f>N168+D168</f>
        <v>0</v>
      </c>
      <c r="O170" s="190"/>
      <c r="P170" s="65"/>
      <c r="Z170" s="7"/>
    </row>
    <row r="171" spans="1:29">
      <c r="N171" s="66"/>
      <c r="O171" s="66"/>
      <c r="P171" s="65"/>
      <c r="Z171" s="7"/>
    </row>
    <row r="172" spans="1:29" ht="15.75" thickBot="1">
      <c r="N172" s="65"/>
      <c r="O172" s="65"/>
      <c r="P172" s="65"/>
      <c r="Z172" s="7"/>
    </row>
    <row r="173" spans="1:29" ht="15.75" thickBot="1">
      <c r="E173" s="67"/>
      <c r="G173" s="68" t="e">
        <f>#REF!-#REF!</f>
        <v>#REF!</v>
      </c>
      <c r="N173" s="65"/>
      <c r="O173" s="65"/>
      <c r="P173" s="65"/>
    </row>
    <row r="174" spans="1:29">
      <c r="G174" s="45" t="e">
        <f>ROUND(NPV(#REF!,#REF!),0)-ROUND(NPV(#REF!,#REF!),0)</f>
        <v>#REF!</v>
      </c>
    </row>
    <row r="175" spans="1:29">
      <c r="G175" s="45" t="e">
        <f>ROUND(NPV(#REF!,#REF!)-NPV(#REF!,#REF!),0)</f>
        <v>#REF!</v>
      </c>
    </row>
    <row r="176" spans="1:29">
      <c r="G176" s="45"/>
    </row>
  </sheetData>
  <mergeCells count="23">
    <mergeCell ref="N2:P2"/>
    <mergeCell ref="A9:A12"/>
    <mergeCell ref="B9:E10"/>
    <mergeCell ref="F9:F12"/>
    <mergeCell ref="H9:L10"/>
    <mergeCell ref="M9:O10"/>
    <mergeCell ref="P9:P10"/>
    <mergeCell ref="L11:L12"/>
    <mergeCell ref="I11:I12"/>
    <mergeCell ref="J11:J12"/>
    <mergeCell ref="K11:K12"/>
    <mergeCell ref="B2:D2"/>
    <mergeCell ref="H2:L2"/>
    <mergeCell ref="C11:C12"/>
    <mergeCell ref="D11:D12"/>
    <mergeCell ref="E11:E12"/>
    <mergeCell ref="Q9:Q12"/>
    <mergeCell ref="X9:Y12"/>
    <mergeCell ref="G11:G12"/>
    <mergeCell ref="H11:H12"/>
    <mergeCell ref="N11:N12"/>
    <mergeCell ref="O11:O12"/>
    <mergeCell ref="P11:P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AC176"/>
  <sheetViews>
    <sheetView workbookViewId="0">
      <pane xSplit="1" ySplit="12" topLeftCell="B157" activePane="bottomRight" state="frozen"/>
      <selection pane="topRight" activeCell="B1" sqref="B1"/>
      <selection pane="bottomLeft" activeCell="A13" sqref="A13"/>
      <selection pane="bottomRight" activeCell="N167" sqref="N167"/>
    </sheetView>
  </sheetViews>
  <sheetFormatPr defaultRowHeight="15"/>
  <cols>
    <col min="1" max="1" width="12" customWidth="1"/>
    <col min="2" max="3" width="14.7109375" customWidth="1"/>
    <col min="4" max="4" width="13.140625" customWidth="1"/>
    <col min="5" max="5" width="10" customWidth="1"/>
    <col min="6" max="6" width="9.42578125" hidden="1" customWidth="1"/>
    <col min="7" max="7" width="13.85546875" hidden="1" customWidth="1"/>
    <col min="8" max="8" width="13.5703125" customWidth="1"/>
    <col min="9" max="9" width="12.7109375" customWidth="1"/>
    <col min="10" max="10" width="13.42578125" customWidth="1"/>
    <col min="11" max="11" width="12.7109375" customWidth="1"/>
    <col min="12" max="12" width="9.28515625" hidden="1" customWidth="1"/>
    <col min="13" max="13" width="12.28515625" customWidth="1"/>
    <col min="14" max="14" width="16.5703125" customWidth="1"/>
    <col min="15" max="15" width="14.140625" customWidth="1"/>
    <col min="16" max="16" width="11.42578125" hidden="1" customWidth="1"/>
    <col min="17" max="17" width="11.28515625" hidden="1" customWidth="1"/>
    <col min="18" max="18" width="0.7109375" customWidth="1"/>
    <col min="19" max="19" width="12.140625" style="2" hidden="1" customWidth="1"/>
    <col min="20" max="21" width="0" hidden="1" customWidth="1"/>
    <col min="22" max="22" width="11.28515625" hidden="1" customWidth="1"/>
    <col min="23" max="24" width="0" hidden="1" customWidth="1"/>
    <col min="25" max="25" width="49.28515625" hidden="1" customWidth="1"/>
    <col min="26" max="26" width="13.5703125" customWidth="1"/>
    <col min="27" max="27" width="14.5703125" customWidth="1"/>
    <col min="29" max="29" width="11.7109375" bestFit="1" customWidth="1"/>
  </cols>
  <sheetData>
    <row r="2" spans="1:29">
      <c r="B2" s="199"/>
      <c r="C2" s="199"/>
      <c r="D2" s="199"/>
      <c r="H2" s="199"/>
      <c r="I2" s="199"/>
      <c r="J2" s="199"/>
      <c r="K2" s="199"/>
      <c r="L2" s="199"/>
      <c r="N2" s="199" t="s">
        <v>0</v>
      </c>
      <c r="O2" s="199"/>
      <c r="P2" s="199"/>
      <c r="Q2" s="1"/>
    </row>
    <row r="3" spans="1:29" ht="4.5" customHeight="1"/>
    <row r="4" spans="1:29">
      <c r="B4" s="3"/>
      <c r="N4" s="3" t="s">
        <v>1</v>
      </c>
      <c r="O4" s="4">
        <v>0.22</v>
      </c>
    </row>
    <row r="5" spans="1:29" ht="4.5" customHeight="1">
      <c r="B5" s="3"/>
    </row>
    <row r="6" spans="1:29">
      <c r="B6" s="3"/>
      <c r="N6" s="3" t="s">
        <v>51</v>
      </c>
      <c r="O6" s="4">
        <v>0.22834642529487614</v>
      </c>
      <c r="S6" s="5"/>
      <c r="T6" s="6"/>
    </row>
    <row r="7" spans="1:29" ht="4.5" customHeight="1">
      <c r="B7" s="3"/>
    </row>
    <row r="8" spans="1:29" ht="15.75" thickBot="1">
      <c r="C8" s="7"/>
      <c r="D8" s="7"/>
      <c r="H8" s="7"/>
      <c r="I8" s="7"/>
      <c r="N8" s="3" t="s">
        <v>52</v>
      </c>
      <c r="O8" s="191">
        <v>5.6363520794988631E-4</v>
      </c>
    </row>
    <row r="9" spans="1:29" ht="13.5" customHeight="1" thickTop="1">
      <c r="A9" s="200" t="s">
        <v>3</v>
      </c>
      <c r="B9" s="203" t="s">
        <v>4</v>
      </c>
      <c r="C9" s="204"/>
      <c r="D9" s="204"/>
      <c r="E9" s="205"/>
      <c r="F9" s="209" t="s">
        <v>5</v>
      </c>
      <c r="G9" s="185"/>
      <c r="H9" s="212" t="s">
        <v>53</v>
      </c>
      <c r="I9" s="213"/>
      <c r="J9" s="213"/>
      <c r="K9" s="213"/>
      <c r="L9" s="214"/>
      <c r="M9" s="218" t="s">
        <v>54</v>
      </c>
      <c r="N9" s="219"/>
      <c r="O9" s="220"/>
      <c r="P9" s="224" t="s">
        <v>8</v>
      </c>
      <c r="Q9" s="232" t="s">
        <v>9</v>
      </c>
      <c r="R9" s="9"/>
      <c r="X9" s="235" t="s">
        <v>10</v>
      </c>
      <c r="Y9" s="235"/>
    </row>
    <row r="10" spans="1:29" ht="13.5" customHeight="1">
      <c r="A10" s="201"/>
      <c r="B10" s="206"/>
      <c r="C10" s="207"/>
      <c r="D10" s="207"/>
      <c r="E10" s="208"/>
      <c r="F10" s="210"/>
      <c r="G10" s="186"/>
      <c r="H10" s="215"/>
      <c r="I10" s="216"/>
      <c r="J10" s="216"/>
      <c r="K10" s="216"/>
      <c r="L10" s="217"/>
      <c r="M10" s="221"/>
      <c r="N10" s="222"/>
      <c r="O10" s="223"/>
      <c r="P10" s="225"/>
      <c r="Q10" s="233"/>
      <c r="R10" s="9"/>
      <c r="S10" s="11"/>
      <c r="X10" s="235"/>
      <c r="Y10" s="235"/>
    </row>
    <row r="11" spans="1:29" ht="13.5" customHeight="1">
      <c r="A11" s="201"/>
      <c r="B11" s="12"/>
      <c r="C11" s="228" t="s">
        <v>11</v>
      </c>
      <c r="D11" s="228" t="s">
        <v>12</v>
      </c>
      <c r="E11" s="230" t="s">
        <v>13</v>
      </c>
      <c r="F11" s="210"/>
      <c r="G11" s="210" t="s">
        <v>5</v>
      </c>
      <c r="H11" s="236" t="s">
        <v>14</v>
      </c>
      <c r="I11" s="228" t="s">
        <v>11</v>
      </c>
      <c r="J11" s="228" t="s">
        <v>15</v>
      </c>
      <c r="K11" s="228" t="s">
        <v>16</v>
      </c>
      <c r="L11" s="226" t="s">
        <v>17</v>
      </c>
      <c r="M11" s="13"/>
      <c r="N11" s="228" t="s">
        <v>18</v>
      </c>
      <c r="O11" s="238" t="s">
        <v>19</v>
      </c>
      <c r="P11" s="240" t="s">
        <v>20</v>
      </c>
      <c r="Q11" s="233"/>
      <c r="R11" s="9"/>
      <c r="S11" s="14"/>
      <c r="X11" s="235"/>
      <c r="Y11" s="235"/>
    </row>
    <row r="12" spans="1:29" ht="66.75" customHeight="1" thickBot="1">
      <c r="A12" s="202"/>
      <c r="B12" s="15" t="s">
        <v>14</v>
      </c>
      <c r="C12" s="229"/>
      <c r="D12" s="229"/>
      <c r="E12" s="231"/>
      <c r="F12" s="211"/>
      <c r="G12" s="211"/>
      <c r="H12" s="237"/>
      <c r="I12" s="229"/>
      <c r="J12" s="229"/>
      <c r="K12" s="229"/>
      <c r="L12" s="227"/>
      <c r="M12" s="16" t="s">
        <v>21</v>
      </c>
      <c r="N12" s="229"/>
      <c r="O12" s="239"/>
      <c r="P12" s="241"/>
      <c r="Q12" s="234"/>
      <c r="R12" s="17"/>
      <c r="V12" t="s">
        <v>22</v>
      </c>
      <c r="W12" t="s">
        <v>23</v>
      </c>
      <c r="X12" s="235"/>
      <c r="Y12" s="235"/>
      <c r="Z12" s="192" t="s">
        <v>55</v>
      </c>
    </row>
    <row r="13" spans="1:29" ht="16.5" thickTop="1" thickBot="1">
      <c r="A13" s="18">
        <v>43541</v>
      </c>
      <c r="B13" s="19">
        <v>2970000</v>
      </c>
      <c r="C13" s="20">
        <v>3000000</v>
      </c>
      <c r="D13" s="20"/>
      <c r="E13" s="21">
        <v>-30000</v>
      </c>
      <c r="F13" s="22">
        <v>-176113.87177890365</v>
      </c>
      <c r="G13" s="23"/>
      <c r="H13" s="24">
        <v>2970000</v>
      </c>
      <c r="I13" s="25">
        <v>3000000</v>
      </c>
      <c r="J13" s="20"/>
      <c r="K13" s="26">
        <v>-30000</v>
      </c>
      <c r="L13" s="27" t="s">
        <v>24</v>
      </c>
      <c r="M13" s="196"/>
      <c r="N13" s="29"/>
      <c r="O13" s="30"/>
      <c r="P13" s="31" t="s">
        <v>24</v>
      </c>
      <c r="Q13" s="32" t="s">
        <v>24</v>
      </c>
      <c r="R13" s="33"/>
      <c r="S13" s="2">
        <v>0</v>
      </c>
      <c r="U13" s="34"/>
      <c r="X13" s="35" t="s">
        <v>25</v>
      </c>
      <c r="Y13" s="36" t="s">
        <v>26</v>
      </c>
      <c r="Z13" s="7"/>
      <c r="AA13" s="7"/>
    </row>
    <row r="14" spans="1:29" ht="16.5" thickTop="1" thickBot="1">
      <c r="A14" s="18">
        <v>43555</v>
      </c>
      <c r="B14" s="37">
        <v>0</v>
      </c>
      <c r="C14" s="29"/>
      <c r="D14" s="29"/>
      <c r="E14" s="38" t="s">
        <v>24</v>
      </c>
      <c r="F14" s="39" t="e">
        <v>#REF!</v>
      </c>
      <c r="G14" s="40"/>
      <c r="H14" s="24">
        <v>2995209.2608515611</v>
      </c>
      <c r="I14" s="41">
        <v>3000000</v>
      </c>
      <c r="J14" s="29">
        <v>25000</v>
      </c>
      <c r="K14" s="42">
        <v>-29790.739148438806</v>
      </c>
      <c r="L14" s="33">
        <v>0</v>
      </c>
      <c r="M14" s="196">
        <v>25209.260851561194</v>
      </c>
      <c r="N14" s="29">
        <v>25000</v>
      </c>
      <c r="O14" s="30">
        <v>209.2608515611937</v>
      </c>
      <c r="P14" s="43">
        <v>0</v>
      </c>
      <c r="Q14" s="44"/>
      <c r="R14" s="33"/>
      <c r="T14" s="7">
        <v>209.2608515611937</v>
      </c>
      <c r="U14" s="7">
        <v>25209.260851561194</v>
      </c>
      <c r="V14" s="45" t="e">
        <v>#REF!</v>
      </c>
      <c r="W14" s="7" t="e">
        <v>#REF!</v>
      </c>
      <c r="X14" s="7">
        <v>209.26</v>
      </c>
      <c r="Y14" s="46" t="s">
        <v>27</v>
      </c>
      <c r="Z14" s="7">
        <v>25209.260851561194</v>
      </c>
      <c r="AA14" s="7"/>
      <c r="AB14" s="7"/>
      <c r="AC14" s="7"/>
    </row>
    <row r="15" spans="1:29" ht="16.5" thickTop="1" thickBot="1">
      <c r="A15" s="18">
        <v>43573</v>
      </c>
      <c r="B15" s="37">
        <v>-93333.333333333343</v>
      </c>
      <c r="C15" s="29">
        <v>-40000</v>
      </c>
      <c r="D15" s="29">
        <v>-53333.333333333336</v>
      </c>
      <c r="E15" s="38" t="s">
        <v>24</v>
      </c>
      <c r="F15" s="39" t="e">
        <v>#REF!</v>
      </c>
      <c r="G15" s="40"/>
      <c r="H15" s="24">
        <v>2930705.1929941489</v>
      </c>
      <c r="I15" s="41">
        <v>2960000</v>
      </c>
      <c r="J15" s="29">
        <v>0</v>
      </c>
      <c r="K15" s="42">
        <v>-29294.807005850937</v>
      </c>
      <c r="L15" s="33">
        <v>0</v>
      </c>
      <c r="M15" s="196">
        <v>28829.265475921202</v>
      </c>
      <c r="N15" s="29">
        <v>28333.333333333332</v>
      </c>
      <c r="O15" s="30">
        <v>495.93214258786975</v>
      </c>
      <c r="P15" s="43">
        <v>0</v>
      </c>
      <c r="Q15" s="44"/>
      <c r="R15" s="33"/>
      <c r="T15" s="7">
        <v>495.93214258786975</v>
      </c>
      <c r="U15" s="7">
        <v>28829.265475921202</v>
      </c>
      <c r="V15" s="45" t="e">
        <v>#REF!</v>
      </c>
      <c r="W15" s="7" t="e">
        <v>#REF!</v>
      </c>
      <c r="X15" s="7">
        <v>495.93</v>
      </c>
      <c r="Y15" s="46" t="s">
        <v>27</v>
      </c>
      <c r="Z15" s="7"/>
      <c r="AA15" s="7"/>
      <c r="AC15" s="7"/>
    </row>
    <row r="16" spans="1:29" ht="15.75" thickTop="1">
      <c r="A16" s="18">
        <v>43585</v>
      </c>
      <c r="B16" s="37">
        <v>0</v>
      </c>
      <c r="C16" s="29"/>
      <c r="D16" s="29">
        <v>0</v>
      </c>
      <c r="E16" s="38"/>
      <c r="F16" s="39" t="e">
        <v>#REF!</v>
      </c>
      <c r="G16" s="40"/>
      <c r="H16" s="24">
        <v>2952251.9966144352</v>
      </c>
      <c r="I16" s="41">
        <v>2960000</v>
      </c>
      <c r="J16" s="29">
        <v>21377.777777777777</v>
      </c>
      <c r="K16" s="42">
        <v>-29125.781163342668</v>
      </c>
      <c r="L16" s="33">
        <v>0</v>
      </c>
      <c r="M16" s="196">
        <v>21546.803620286046</v>
      </c>
      <c r="N16" s="29">
        <v>21377.777777777777</v>
      </c>
      <c r="O16" s="30">
        <v>169.0258425082684</v>
      </c>
      <c r="P16" s="43">
        <v>0</v>
      </c>
      <c r="Q16" s="44">
        <v>7.2548160337663455E-3</v>
      </c>
      <c r="R16" s="33"/>
      <c r="S16" s="2">
        <v>49711.111111111109</v>
      </c>
      <c r="T16" s="7">
        <v>169.0258425082684</v>
      </c>
      <c r="U16" s="7">
        <v>21546.803620286046</v>
      </c>
      <c r="V16" s="45" t="e">
        <v>#REF!</v>
      </c>
      <c r="W16" s="7" t="e">
        <v>#REF!</v>
      </c>
      <c r="X16" s="7"/>
      <c r="Z16" s="7">
        <v>50376.069096207248</v>
      </c>
      <c r="AA16" s="7"/>
      <c r="AB16" s="7"/>
      <c r="AC16" s="7"/>
    </row>
    <row r="17" spans="1:29">
      <c r="A17" s="95">
        <v>43605</v>
      </c>
      <c r="B17" s="96">
        <v>-92622.222222222219</v>
      </c>
      <c r="C17" s="97">
        <v>-40000</v>
      </c>
      <c r="D17" s="97">
        <v>-52622.222222222219</v>
      </c>
      <c r="E17" s="98"/>
      <c r="F17" s="99"/>
      <c r="G17" s="100"/>
      <c r="H17" s="101">
        <v>2891406.5363374827</v>
      </c>
      <c r="I17" s="102">
        <v>2920000</v>
      </c>
      <c r="J17" s="97">
        <v>0</v>
      </c>
      <c r="K17" s="103">
        <v>-28593.463662517202</v>
      </c>
      <c r="L17" s="104">
        <v>0</v>
      </c>
      <c r="M17" s="198">
        <v>31776.761945269911</v>
      </c>
      <c r="N17" s="97">
        <v>31244.444444444445</v>
      </c>
      <c r="O17" s="106">
        <v>532.31750082546569</v>
      </c>
      <c r="P17" s="43">
        <v>0</v>
      </c>
      <c r="Q17" s="44"/>
      <c r="R17" s="33"/>
      <c r="V17" s="45" t="e">
        <v>#REF!</v>
      </c>
      <c r="W17" s="7" t="e">
        <v>#REF!</v>
      </c>
      <c r="X17" s="7">
        <v>701.34</v>
      </c>
      <c r="Y17" s="46" t="s">
        <v>28</v>
      </c>
      <c r="Z17" s="7"/>
      <c r="AA17" s="7"/>
      <c r="AC17" s="7"/>
    </row>
    <row r="18" spans="1:29">
      <c r="A18" s="18"/>
      <c r="B18" s="37"/>
      <c r="C18" s="29"/>
      <c r="D18" s="29"/>
      <c r="E18" s="38"/>
      <c r="F18" s="39"/>
      <c r="G18" s="47"/>
      <c r="H18" s="24"/>
      <c r="I18" s="41"/>
      <c r="J18" s="29"/>
      <c r="K18" s="42"/>
      <c r="L18" s="33"/>
      <c r="M18" s="196"/>
      <c r="N18" s="29"/>
      <c r="O18" s="195"/>
      <c r="P18" s="43"/>
      <c r="Q18" s="44"/>
      <c r="R18" s="33"/>
      <c r="V18" s="45"/>
      <c r="W18" s="7"/>
      <c r="X18" s="7"/>
      <c r="Y18" s="46"/>
      <c r="Z18" s="7"/>
      <c r="AA18" s="7">
        <f>H17-H21</f>
        <v>-125763.34033652954</v>
      </c>
      <c r="AC18" s="7"/>
    </row>
    <row r="19" spans="1:29">
      <c r="A19" s="18"/>
      <c r="B19" s="37"/>
      <c r="C19" s="29"/>
      <c r="D19" s="29"/>
      <c r="E19" s="38"/>
      <c r="F19" s="39"/>
      <c r="G19" s="47"/>
      <c r="H19" s="24"/>
      <c r="I19" s="41"/>
      <c r="J19" s="29"/>
      <c r="K19" s="42"/>
      <c r="L19" s="33"/>
      <c r="M19" s="196" t="s">
        <v>58</v>
      </c>
      <c r="N19" s="29"/>
      <c r="O19" s="195">
        <f>H20-H17</f>
        <v>124063.71513427421</v>
      </c>
      <c r="P19" s="43"/>
      <c r="Q19" s="44"/>
      <c r="R19" s="33"/>
      <c r="V19" s="45"/>
      <c r="W19" s="7"/>
      <c r="X19" s="7"/>
      <c r="Y19" s="46"/>
      <c r="Z19" s="7"/>
      <c r="AA19" s="7"/>
      <c r="AC19" s="7"/>
    </row>
    <row r="20" spans="1:29">
      <c r="A20" s="18">
        <v>43605</v>
      </c>
      <c r="B20" s="37">
        <v>0</v>
      </c>
      <c r="C20" s="29"/>
      <c r="D20" s="29"/>
      <c r="E20" s="38"/>
      <c r="F20" s="39"/>
      <c r="G20" s="47"/>
      <c r="H20" s="193">
        <f>-(XNPV($O$6,B20:$B$167,A20:$A$167)-B20)*((1+$O$6)^(1/365))</f>
        <v>3015470.251471757</v>
      </c>
      <c r="I20" s="41"/>
      <c r="J20" s="29"/>
      <c r="K20" s="42"/>
      <c r="L20" s="33"/>
      <c r="M20" s="196"/>
      <c r="N20" s="29"/>
      <c r="O20" s="195"/>
      <c r="P20" s="43"/>
      <c r="Q20" s="44"/>
      <c r="R20" s="33"/>
      <c r="V20" s="45"/>
      <c r="W20" s="7"/>
      <c r="X20" s="7"/>
      <c r="Y20" s="46"/>
      <c r="Z20" s="7"/>
      <c r="AA20" s="7"/>
      <c r="AC20" s="7"/>
    </row>
    <row r="21" spans="1:29">
      <c r="A21" s="18">
        <v>43606</v>
      </c>
      <c r="B21" s="37">
        <f t="shared" ref="B21:B167" si="0">SUM(C21:E21)</f>
        <v>0</v>
      </c>
      <c r="C21" s="29"/>
      <c r="D21" s="29"/>
      <c r="E21" s="38"/>
      <c r="F21" s="39"/>
      <c r="G21" s="47"/>
      <c r="H21" s="24">
        <f t="shared" ref="H21:H167" si="1">I21+J21+K21</f>
        <v>3017169.8766740123</v>
      </c>
      <c r="I21" s="194">
        <f>I17</f>
        <v>2920000</v>
      </c>
      <c r="J21" s="29">
        <f>J17+N21-D21</f>
        <v>1784.4444444444443</v>
      </c>
      <c r="K21" s="42">
        <f>K17+O19+O21</f>
        <v>95385.432229567552</v>
      </c>
      <c r="L21" s="33"/>
      <c r="M21" s="196">
        <f>H20*((100%+$O$8)^(A21-A20)-100%)</f>
        <v>1699.6252022549797</v>
      </c>
      <c r="N21" s="108">
        <f>(I21)*O4/360</f>
        <v>1784.4444444444443</v>
      </c>
      <c r="O21" s="30">
        <f t="shared" ref="O21:O84" si="2">M21-N21</f>
        <v>-84.819242189464603</v>
      </c>
      <c r="P21" s="43"/>
      <c r="Q21" s="44"/>
      <c r="R21" s="33"/>
      <c r="V21" s="45"/>
      <c r="W21" s="7"/>
      <c r="X21" s="7"/>
      <c r="Y21" s="46"/>
      <c r="Z21" s="7"/>
      <c r="AA21" s="7"/>
      <c r="AB21" s="7">
        <f>K17+O19</f>
        <v>95470.251471757016</v>
      </c>
      <c r="AC21" s="7"/>
    </row>
    <row r="22" spans="1:29">
      <c r="A22" s="18">
        <v>43616</v>
      </c>
      <c r="B22" s="37">
        <f t="shared" si="0"/>
        <v>0</v>
      </c>
      <c r="C22" s="29"/>
      <c r="D22" s="29">
        <v>0</v>
      </c>
      <c r="E22" s="38"/>
      <c r="F22" s="39"/>
      <c r="G22" s="47"/>
      <c r="H22" s="24">
        <f t="shared" si="1"/>
        <v>3034218.9061612058</v>
      </c>
      <c r="I22" s="41">
        <f>I21+C22</f>
        <v>2920000</v>
      </c>
      <c r="J22" s="29">
        <f>J21+N22+D22</f>
        <v>19628.888888888891</v>
      </c>
      <c r="K22" s="42">
        <f>K21+O22</f>
        <v>94590.017272316822</v>
      </c>
      <c r="L22" s="33">
        <f t="shared" ref="L22:L167" si="3">P22</f>
        <v>0</v>
      </c>
      <c r="M22" s="196">
        <f>H21*((100%+$O$8)^(A22-A21)-100%)</f>
        <v>17049.029487193719</v>
      </c>
      <c r="N22" s="29">
        <f>I21*O$4*(A22-A21)/360</f>
        <v>17844.444444444445</v>
      </c>
      <c r="O22" s="30">
        <f t="shared" si="2"/>
        <v>-795.41495725072673</v>
      </c>
      <c r="P22" s="43">
        <v>0</v>
      </c>
      <c r="Q22" s="44">
        <f>M22/H16</f>
        <v>5.7749235182989449E-3</v>
      </c>
      <c r="R22" s="33"/>
      <c r="S22" s="2">
        <f>N17+N22-D22</f>
        <v>49088.888888888891</v>
      </c>
      <c r="T22" s="7">
        <f>O22+O17</f>
        <v>-263.09745642526104</v>
      </c>
      <c r="U22" s="7">
        <f>M17+M22</f>
        <v>48825.791432463629</v>
      </c>
      <c r="V22" s="45" t="e">
        <f>N22-#REF!</f>
        <v>#REF!</v>
      </c>
      <c r="W22" s="7" t="e">
        <f>J22-#REF!</f>
        <v>#REF!</v>
      </c>
      <c r="X22" s="7"/>
      <c r="Z22" s="7">
        <f>M22+M17</f>
        <v>48825.791432463629</v>
      </c>
      <c r="AA22" s="7"/>
      <c r="AB22" s="7"/>
      <c r="AC22" s="7"/>
    </row>
    <row r="23" spans="1:29">
      <c r="A23" s="18">
        <v>43636</v>
      </c>
      <c r="B23" s="37">
        <f t="shared" si="0"/>
        <v>-93533.333333333343</v>
      </c>
      <c r="C23" s="29">
        <v>-40000</v>
      </c>
      <c r="D23" s="29">
        <f>-I21*O$4*(A23-A21)/360</f>
        <v>-53533.333333333336</v>
      </c>
      <c r="E23" s="38"/>
      <c r="F23" s="39"/>
      <c r="G23" s="47"/>
      <c r="H23" s="24">
        <f t="shared" si="1"/>
        <v>2973344.591089691</v>
      </c>
      <c r="I23" s="41">
        <f t="shared" ref="I23:I86" si="4">I22+C23</f>
        <v>2880000</v>
      </c>
      <c r="J23" s="29">
        <f t="shared" ref="J23:J86" si="5">J22+N23+D23</f>
        <v>0</v>
      </c>
      <c r="K23" s="42">
        <f t="shared" ref="K23:K86" si="6">K22+O23</f>
        <v>93344.591089691196</v>
      </c>
      <c r="L23" s="33">
        <f t="shared" si="3"/>
        <v>0</v>
      </c>
      <c r="M23" s="196">
        <f t="shared" ref="M23" si="7">H22*((100%+$O$8)^(A23-A22-1)-100%)</f>
        <v>32659.018261818816</v>
      </c>
      <c r="N23" s="29">
        <f t="shared" ref="N23" si="8">I22*O$4*(A23-A22-1)/360</f>
        <v>33904.444444444445</v>
      </c>
      <c r="O23" s="30">
        <f t="shared" si="2"/>
        <v>-1245.4261826256297</v>
      </c>
      <c r="P23" s="43">
        <v>0</v>
      </c>
      <c r="Q23" s="44"/>
      <c r="R23" s="33"/>
      <c r="V23" s="45" t="e">
        <f>N23-#REF!</f>
        <v>#REF!</v>
      </c>
      <c r="W23" s="7" t="e">
        <f>J23-#REF!</f>
        <v>#REF!</v>
      </c>
      <c r="X23" s="7">
        <f>ROUND((O22+O23),2)</f>
        <v>-2040.84</v>
      </c>
      <c r="Y23" s="46" t="s">
        <v>28</v>
      </c>
      <c r="Z23" s="7"/>
      <c r="AA23" s="7"/>
      <c r="AC23" s="7"/>
    </row>
    <row r="24" spans="1:29">
      <c r="A24" s="18">
        <v>43646</v>
      </c>
      <c r="B24" s="37">
        <f t="shared" si="0"/>
        <v>0</v>
      </c>
      <c r="C24" s="29"/>
      <c r="D24" s="29">
        <v>0</v>
      </c>
      <c r="E24" s="38"/>
      <c r="F24" s="39"/>
      <c r="G24" s="47"/>
      <c r="H24" s="24">
        <f t="shared" si="1"/>
        <v>2991831.3299271488</v>
      </c>
      <c r="I24" s="41">
        <f t="shared" si="4"/>
        <v>2880000</v>
      </c>
      <c r="J24" s="29">
        <f t="shared" si="5"/>
        <v>19360</v>
      </c>
      <c r="K24" s="42">
        <f t="shared" si="6"/>
        <v>92471.329927148661</v>
      </c>
      <c r="L24" s="33">
        <f t="shared" si="3"/>
        <v>0</v>
      </c>
      <c r="M24" s="196">
        <f t="shared" ref="M24" si="9">H23*((100%+$O$8)^(A24-A23+1)-100%)</f>
        <v>18486.738837457462</v>
      </c>
      <c r="N24" s="29">
        <f t="shared" ref="N24" si="10">I23*O$4*(A24-A23+1)/360</f>
        <v>19360</v>
      </c>
      <c r="O24" s="30">
        <f t="shared" si="2"/>
        <v>-873.26116254253793</v>
      </c>
      <c r="P24" s="43">
        <v>0</v>
      </c>
      <c r="Q24" s="44">
        <f>M24/H22</f>
        <v>6.0927505263113262E-3</v>
      </c>
      <c r="R24" s="33"/>
      <c r="S24" s="2">
        <f>N23+N24-D24</f>
        <v>53264.444444444445</v>
      </c>
      <c r="T24" s="7">
        <f>O24+O23</f>
        <v>-2118.6873451681677</v>
      </c>
      <c r="U24" s="7">
        <f>M23+M24</f>
        <v>51145.757099276278</v>
      </c>
      <c r="V24" s="45" t="e">
        <f>N24-#REF!</f>
        <v>#REF!</v>
      </c>
      <c r="W24" s="7" t="e">
        <f>J24-#REF!</f>
        <v>#REF!</v>
      </c>
      <c r="X24" s="7"/>
      <c r="Z24" s="7">
        <f t="shared" ref="Z24" si="11">M24+M23</f>
        <v>51145.757099276278</v>
      </c>
      <c r="AA24" s="7"/>
      <c r="AC24" s="7"/>
    </row>
    <row r="25" spans="1:29">
      <c r="A25" s="18">
        <v>43664</v>
      </c>
      <c r="B25" s="37">
        <f t="shared" si="0"/>
        <v>-89280</v>
      </c>
      <c r="C25" s="29">
        <v>-40000</v>
      </c>
      <c r="D25" s="29">
        <f t="shared" ref="D25" si="12">-I23*O$4*(A25-A23)/360</f>
        <v>-49280</v>
      </c>
      <c r="E25" s="38"/>
      <c r="F25" s="39"/>
      <c r="G25" s="47"/>
      <c r="H25" s="24">
        <f t="shared" si="1"/>
        <v>2931348.082393494</v>
      </c>
      <c r="I25" s="41">
        <f t="shared" si="4"/>
        <v>2840000</v>
      </c>
      <c r="J25" s="29">
        <f t="shared" si="5"/>
        <v>0</v>
      </c>
      <c r="K25" s="42">
        <f t="shared" si="6"/>
        <v>91348.082393494187</v>
      </c>
      <c r="L25" s="33">
        <f t="shared" si="3"/>
        <v>0</v>
      </c>
      <c r="M25" s="196">
        <f t="shared" ref="M25" si="13">H24*((100%+$O$8)^(A25-A24-1)-100%)</f>
        <v>28796.75246634553</v>
      </c>
      <c r="N25" s="29">
        <f t="shared" ref="N25" si="14">I24*O$4*(A25-A24-1)/360</f>
        <v>29920</v>
      </c>
      <c r="O25" s="30">
        <f t="shared" si="2"/>
        <v>-1123.2475336544703</v>
      </c>
      <c r="P25" s="43">
        <v>0</v>
      </c>
      <c r="Q25" s="44"/>
      <c r="R25" s="33"/>
      <c r="V25" s="45" t="e">
        <f>N25-#REF!</f>
        <v>#REF!</v>
      </c>
      <c r="W25" s="7" t="e">
        <f>J25-#REF!</f>
        <v>#REF!</v>
      </c>
      <c r="X25" s="7">
        <f>ROUND((O24+O25),2)</f>
        <v>-1996.51</v>
      </c>
      <c r="Y25" s="46" t="s">
        <v>28</v>
      </c>
      <c r="Z25" s="7"/>
      <c r="AA25" s="7"/>
      <c r="AC25" s="7"/>
    </row>
    <row r="26" spans="1:29">
      <c r="A26" s="18">
        <v>43677</v>
      </c>
      <c r="B26" s="37">
        <f t="shared" si="0"/>
        <v>0</v>
      </c>
      <c r="C26" s="29"/>
      <c r="D26" s="29">
        <v>0</v>
      </c>
      <c r="E26" s="38"/>
      <c r="F26" s="39"/>
      <c r="G26" s="47"/>
      <c r="H26" s="24">
        <f t="shared" si="1"/>
        <v>2954563.9707806688</v>
      </c>
      <c r="I26" s="41">
        <f t="shared" si="4"/>
        <v>2840000</v>
      </c>
      <c r="J26" s="29">
        <f t="shared" si="5"/>
        <v>24297.777777777777</v>
      </c>
      <c r="K26" s="42">
        <f t="shared" si="6"/>
        <v>90266.193002890956</v>
      </c>
      <c r="L26" s="33">
        <f t="shared" si="3"/>
        <v>0</v>
      </c>
      <c r="M26" s="196">
        <f t="shared" ref="M26" si="15">H25*((100%+$O$8)^(A26-A25+1)-100%)</f>
        <v>23215.888387174542</v>
      </c>
      <c r="N26" s="29">
        <f t="shared" ref="N26" si="16">I25*O$4*(A26-A25+1)/360</f>
        <v>24297.777777777777</v>
      </c>
      <c r="O26" s="30">
        <f t="shared" si="2"/>
        <v>-1081.8893906032354</v>
      </c>
      <c r="P26" s="43">
        <v>0</v>
      </c>
      <c r="Q26" s="44">
        <f>M26/H24</f>
        <v>7.7597584312147205E-3</v>
      </c>
      <c r="R26" s="33"/>
      <c r="S26" s="2">
        <f>N25+N26-D26</f>
        <v>54217.777777777781</v>
      </c>
      <c r="T26" s="7">
        <f>O26+O25</f>
        <v>-2205.1369242577057</v>
      </c>
      <c r="U26" s="7">
        <f>M25+M26</f>
        <v>52012.640853520075</v>
      </c>
      <c r="V26" s="45" t="e">
        <f>N26-#REF!</f>
        <v>#REF!</v>
      </c>
      <c r="W26" s="7" t="e">
        <f>J26-#REF!</f>
        <v>#REF!</v>
      </c>
      <c r="X26" s="7"/>
      <c r="Z26" s="7">
        <f t="shared" ref="Z26" si="17">M26+M25</f>
        <v>52012.640853520075</v>
      </c>
      <c r="AA26" s="7"/>
      <c r="AC26" s="7"/>
    </row>
    <row r="27" spans="1:29">
      <c r="A27" s="18">
        <v>43697</v>
      </c>
      <c r="B27" s="37">
        <f t="shared" si="0"/>
        <v>-97273.333333333343</v>
      </c>
      <c r="C27" s="29">
        <v>-40000</v>
      </c>
      <c r="D27" s="29">
        <f t="shared" ref="D27" si="18">-I25*O$4*(A27-A25)/360</f>
        <v>-57273.333333333336</v>
      </c>
      <c r="E27" s="38"/>
      <c r="F27" s="39"/>
      <c r="G27" s="47"/>
      <c r="H27" s="24">
        <f t="shared" si="1"/>
        <v>2889092.2844812726</v>
      </c>
      <c r="I27" s="41">
        <f t="shared" si="4"/>
        <v>2800000</v>
      </c>
      <c r="J27" s="29">
        <f t="shared" si="5"/>
        <v>0</v>
      </c>
      <c r="K27" s="42">
        <f t="shared" si="6"/>
        <v>89092.284481272625</v>
      </c>
      <c r="L27" s="33">
        <f t="shared" si="3"/>
        <v>0</v>
      </c>
      <c r="M27" s="196">
        <f t="shared" ref="M27" si="19">H26*((100%+$O$8)^(A27-A26-1)-100%)</f>
        <v>31801.647033937232</v>
      </c>
      <c r="N27" s="29">
        <f t="shared" ref="N27" si="20">I26*O$4*(A27-A26-1)/360</f>
        <v>32975.555555555555</v>
      </c>
      <c r="O27" s="30">
        <f t="shared" si="2"/>
        <v>-1173.908521618323</v>
      </c>
      <c r="P27" s="43">
        <v>0</v>
      </c>
      <c r="Q27" s="44"/>
      <c r="R27" s="33"/>
      <c r="V27" s="45" t="e">
        <f>N27-#REF!</f>
        <v>#REF!</v>
      </c>
      <c r="W27" s="7" t="e">
        <f>J27-#REF!</f>
        <v>#REF!</v>
      </c>
      <c r="X27" s="7">
        <f>ROUND((O26+O27),2)</f>
        <v>-2255.8000000000002</v>
      </c>
      <c r="Y27" s="46" t="s">
        <v>28</v>
      </c>
      <c r="Z27" s="7"/>
      <c r="AA27" s="7"/>
      <c r="AC27" s="7"/>
    </row>
    <row r="28" spans="1:29">
      <c r="A28" s="18">
        <v>43708</v>
      </c>
      <c r="B28" s="37">
        <f t="shared" si="0"/>
        <v>0</v>
      </c>
      <c r="C28" s="29"/>
      <c r="D28" s="29">
        <v>0</v>
      </c>
      <c r="E28" s="38"/>
      <c r="F28" s="39"/>
      <c r="G28" s="47"/>
      <c r="H28" s="24">
        <f t="shared" si="1"/>
        <v>2908693.7041392643</v>
      </c>
      <c r="I28" s="41">
        <f t="shared" si="4"/>
        <v>2800000</v>
      </c>
      <c r="J28" s="29">
        <f t="shared" si="5"/>
        <v>20533.333333333332</v>
      </c>
      <c r="K28" s="42">
        <f t="shared" si="6"/>
        <v>88160.370805930812</v>
      </c>
      <c r="L28" s="33">
        <f t="shared" si="3"/>
        <v>0</v>
      </c>
      <c r="M28" s="196">
        <f t="shared" ref="M28" si="21">H27*((100%+$O$8)^(A28-A27+1)-100%)</f>
        <v>19601.419657991511</v>
      </c>
      <c r="N28" s="29">
        <f t="shared" ref="N28" si="22">I27*O$4*(A28-A27+1)/360</f>
        <v>20533.333333333332</v>
      </c>
      <c r="O28" s="30">
        <f t="shared" si="2"/>
        <v>-931.91367534182064</v>
      </c>
      <c r="P28" s="43">
        <v>0</v>
      </c>
      <c r="Q28" s="44">
        <f>M28/H26</f>
        <v>6.6342850761875131E-3</v>
      </c>
      <c r="R28" s="33"/>
      <c r="S28" s="2">
        <f>N27+N28-D28</f>
        <v>53508.888888888891</v>
      </c>
      <c r="T28" s="7">
        <f>O28+O27</f>
        <v>-2105.8221969601436</v>
      </c>
      <c r="U28" s="7">
        <f>M27+M28</f>
        <v>51403.066691928747</v>
      </c>
      <c r="V28" s="45" t="e">
        <f>N28-#REF!</f>
        <v>#REF!</v>
      </c>
      <c r="W28" s="7" t="e">
        <f>J28-#REF!</f>
        <v>#REF!</v>
      </c>
      <c r="X28" s="7"/>
      <c r="Z28" s="7">
        <f t="shared" ref="Z28" si="23">M28+M27</f>
        <v>51403.066691928747</v>
      </c>
      <c r="AA28" s="7"/>
      <c r="AC28" s="7"/>
    </row>
    <row r="29" spans="1:29">
      <c r="A29" s="18">
        <v>43727</v>
      </c>
      <c r="B29" s="37">
        <f t="shared" si="0"/>
        <v>-91333.333333333343</v>
      </c>
      <c r="C29" s="29">
        <v>-40000</v>
      </c>
      <c r="D29" s="29">
        <f t="shared" ref="D29" si="24">-I27*O$4*(A29-A27)/360</f>
        <v>-51333.333333333336</v>
      </c>
      <c r="E29" s="38"/>
      <c r="F29" s="39"/>
      <c r="G29" s="47"/>
      <c r="H29" s="24">
        <f t="shared" si="1"/>
        <v>2847012.1351958197</v>
      </c>
      <c r="I29" s="41">
        <f t="shared" si="4"/>
        <v>2760000</v>
      </c>
      <c r="J29" s="29">
        <f t="shared" si="5"/>
        <v>0</v>
      </c>
      <c r="K29" s="42">
        <f t="shared" si="6"/>
        <v>87012.135195819457</v>
      </c>
      <c r="L29" s="33">
        <f t="shared" si="3"/>
        <v>0</v>
      </c>
      <c r="M29" s="196">
        <f t="shared" ref="M29:M91" si="25">H28*((100%+$O$8)^(A29-A28-1)-100%)</f>
        <v>29651.764389888642</v>
      </c>
      <c r="N29" s="29">
        <f t="shared" ref="N29" si="26">I28*O$4*(A29-A28-1)/360</f>
        <v>30800</v>
      </c>
      <c r="O29" s="30">
        <f t="shared" si="2"/>
        <v>-1148.2356101113583</v>
      </c>
      <c r="P29" s="43">
        <v>0</v>
      </c>
      <c r="Q29" s="44"/>
      <c r="R29" s="33"/>
      <c r="V29" s="45" t="e">
        <f>N29-#REF!</f>
        <v>#REF!</v>
      </c>
      <c r="W29" s="7" t="e">
        <f>J29-#REF!</f>
        <v>#REF!</v>
      </c>
      <c r="X29" s="7">
        <f>ROUND((O28+O29),2)</f>
        <v>-2080.15</v>
      </c>
      <c r="Y29" s="46" t="s">
        <v>28</v>
      </c>
      <c r="Z29" s="7"/>
      <c r="AA29" s="7"/>
      <c r="AC29" s="7"/>
    </row>
    <row r="30" spans="1:29">
      <c r="A30" s="18">
        <v>43738</v>
      </c>
      <c r="B30" s="37">
        <f t="shared" si="0"/>
        <v>0</v>
      </c>
      <c r="C30" s="29"/>
      <c r="D30" s="29">
        <v>0</v>
      </c>
      <c r="E30" s="38"/>
      <c r="F30" s="39"/>
      <c r="G30" s="47"/>
      <c r="H30" s="24">
        <f t="shared" si="1"/>
        <v>2866328.0566473864</v>
      </c>
      <c r="I30" s="41">
        <f t="shared" si="4"/>
        <v>2760000</v>
      </c>
      <c r="J30" s="29">
        <f t="shared" si="5"/>
        <v>20240</v>
      </c>
      <c r="K30" s="42">
        <f t="shared" si="6"/>
        <v>86088.056647386184</v>
      </c>
      <c r="L30" s="33">
        <f t="shared" si="3"/>
        <v>0</v>
      </c>
      <c r="M30" s="196">
        <f t="shared" ref="M30:M92" si="27">H29*((100%+$O$8)^(A30-A29+1)-100%)</f>
        <v>19315.921451566726</v>
      </c>
      <c r="N30" s="29">
        <f t="shared" ref="N30" si="28">I29*O$4*(A30-A29+1)/360</f>
        <v>20240</v>
      </c>
      <c r="O30" s="30">
        <f t="shared" si="2"/>
        <v>-924.07854843327368</v>
      </c>
      <c r="P30" s="43">
        <v>0</v>
      </c>
      <c r="Q30" s="44">
        <f>M30/H28</f>
        <v>6.6407547223273754E-3</v>
      </c>
      <c r="R30" s="33"/>
      <c r="S30" s="2">
        <f>N29+N30-D30</f>
        <v>51040</v>
      </c>
      <c r="T30" s="7">
        <f>O30+O29</f>
        <v>-2072.3141585446319</v>
      </c>
      <c r="U30" s="7">
        <f>M29+M30</f>
        <v>48967.685841455372</v>
      </c>
      <c r="V30" s="45" t="e">
        <f>N30-#REF!</f>
        <v>#REF!</v>
      </c>
      <c r="W30" s="7" t="e">
        <f>J30-#REF!</f>
        <v>#REF!</v>
      </c>
      <c r="X30" s="7"/>
      <c r="Z30" s="7">
        <f t="shared" ref="Z30:Z92" si="29">M30+M29</f>
        <v>48967.685841455372</v>
      </c>
      <c r="AA30" s="7"/>
      <c r="AC30" s="7"/>
    </row>
    <row r="31" spans="1:29">
      <c r="A31" s="18">
        <v>43758</v>
      </c>
      <c r="B31" s="37">
        <f t="shared" si="0"/>
        <v>-92286.666666666657</v>
      </c>
      <c r="C31" s="29">
        <v>-40000</v>
      </c>
      <c r="D31" s="29">
        <f t="shared" ref="D31" si="30">-I29*O$4*(A31-A29)/360</f>
        <v>-52286.666666666664</v>
      </c>
      <c r="E31" s="38"/>
      <c r="F31" s="39"/>
      <c r="G31" s="47"/>
      <c r="H31" s="24">
        <f t="shared" si="1"/>
        <v>2804893.3038476873</v>
      </c>
      <c r="I31" s="41">
        <f t="shared" si="4"/>
        <v>2720000</v>
      </c>
      <c r="J31" s="29">
        <f t="shared" si="5"/>
        <v>0</v>
      </c>
      <c r="K31" s="42">
        <f t="shared" si="6"/>
        <v>84893.303847687261</v>
      </c>
      <c r="L31" s="33">
        <f t="shared" si="3"/>
        <v>0</v>
      </c>
      <c r="M31" s="196">
        <f t="shared" si="25"/>
        <v>30851.913866967752</v>
      </c>
      <c r="N31" s="29">
        <f t="shared" ref="N31:N94" si="31">I30*O$4*(A31-A30-1)/360</f>
        <v>32046.666666666668</v>
      </c>
      <c r="O31" s="30">
        <f t="shared" si="2"/>
        <v>-1194.7527996989156</v>
      </c>
      <c r="P31" s="43">
        <v>0</v>
      </c>
      <c r="Q31" s="44"/>
      <c r="R31" s="33"/>
      <c r="V31" s="45" t="e">
        <f>N31-#REF!</f>
        <v>#REF!</v>
      </c>
      <c r="W31" s="7" t="e">
        <f>J31-#REF!</f>
        <v>#REF!</v>
      </c>
      <c r="X31" s="7">
        <f>ROUND((O30+O31),2)</f>
        <v>-2118.83</v>
      </c>
      <c r="Y31" s="46" t="s">
        <v>28</v>
      </c>
      <c r="Z31" s="7"/>
      <c r="AA31" s="7"/>
      <c r="AC31" s="7"/>
    </row>
    <row r="32" spans="1:29">
      <c r="A32" s="18">
        <v>43769</v>
      </c>
      <c r="B32" s="37">
        <f t="shared" si="0"/>
        <v>0</v>
      </c>
      <c r="C32" s="29"/>
      <c r="D32" s="29">
        <v>0</v>
      </c>
      <c r="E32" s="38"/>
      <c r="F32" s="39"/>
      <c r="G32" s="47"/>
      <c r="H32" s="24">
        <f t="shared" si="1"/>
        <v>2823923.4646493797</v>
      </c>
      <c r="I32" s="41">
        <f t="shared" si="4"/>
        <v>2720000</v>
      </c>
      <c r="J32" s="29">
        <f t="shared" si="5"/>
        <v>16622.222222222223</v>
      </c>
      <c r="K32" s="42">
        <f t="shared" si="6"/>
        <v>87301.242427157908</v>
      </c>
      <c r="L32" s="33">
        <f t="shared" si="3"/>
        <v>0</v>
      </c>
      <c r="M32" s="196">
        <f t="shared" si="27"/>
        <v>19030.160801692869</v>
      </c>
      <c r="N32" s="29">
        <f t="shared" si="31"/>
        <v>16622.222222222223</v>
      </c>
      <c r="O32" s="30">
        <f t="shared" si="2"/>
        <v>2407.9385794706468</v>
      </c>
      <c r="P32" s="43"/>
      <c r="Q32" s="44"/>
      <c r="R32" s="33"/>
      <c r="V32" s="45"/>
      <c r="W32" s="7"/>
      <c r="X32" s="7"/>
      <c r="Y32" s="46"/>
      <c r="Z32" s="7">
        <f t="shared" si="29"/>
        <v>49882.074668660622</v>
      </c>
      <c r="AA32" s="7"/>
      <c r="AC32" s="7"/>
    </row>
    <row r="33" spans="1:29">
      <c r="A33" s="18">
        <v>43789</v>
      </c>
      <c r="B33" s="37">
        <f t="shared" si="0"/>
        <v>-91528.888888888891</v>
      </c>
      <c r="C33" s="29">
        <v>-40000</v>
      </c>
      <c r="D33" s="29">
        <f t="shared" ref="D33" si="32">-I31*O$4*(A33-A31)/360</f>
        <v>-51528.888888888891</v>
      </c>
      <c r="E33" s="38"/>
      <c r="F33" s="39"/>
      <c r="G33" s="47"/>
      <c r="H33" s="24">
        <f t="shared" si="1"/>
        <v>2762790.0649635578</v>
      </c>
      <c r="I33" s="41">
        <f t="shared" si="4"/>
        <v>2680000</v>
      </c>
      <c r="J33" s="29">
        <f>J32+N33+D33</f>
        <v>0</v>
      </c>
      <c r="K33" s="42">
        <f t="shared" si="6"/>
        <v>82790.064963557612</v>
      </c>
      <c r="L33" s="33">
        <f t="shared" si="3"/>
        <v>0</v>
      </c>
      <c r="M33" s="196">
        <f t="shared" si="25"/>
        <v>30395.489203066361</v>
      </c>
      <c r="N33" s="29">
        <f>I32*O$4*(A33-A32+1)/360</f>
        <v>34906.666666666664</v>
      </c>
      <c r="O33" s="30">
        <f>M33-N33</f>
        <v>-4511.1774636003029</v>
      </c>
      <c r="P33" s="43"/>
      <c r="Q33" s="44"/>
      <c r="R33" s="33"/>
      <c r="V33" s="45"/>
      <c r="W33" s="7"/>
      <c r="X33" s="7"/>
      <c r="Y33" s="46"/>
      <c r="Z33" s="7"/>
      <c r="AA33" s="7"/>
      <c r="AC33" s="7"/>
    </row>
    <row r="34" spans="1:29">
      <c r="A34" s="18">
        <v>43799</v>
      </c>
      <c r="B34" s="37">
        <f t="shared" si="0"/>
        <v>0</v>
      </c>
      <c r="C34" s="29"/>
      <c r="D34" s="29">
        <v>0</v>
      </c>
      <c r="E34" s="38"/>
      <c r="F34" s="39"/>
      <c r="G34" s="47"/>
      <c r="H34" s="24">
        <f t="shared" si="1"/>
        <v>2779967.6832412244</v>
      </c>
      <c r="I34" s="41">
        <f t="shared" si="4"/>
        <v>2680000</v>
      </c>
      <c r="J34" s="29">
        <f t="shared" si="5"/>
        <v>14740</v>
      </c>
      <c r="K34" s="42">
        <f t="shared" si="6"/>
        <v>85227.683241224222</v>
      </c>
      <c r="L34" s="33">
        <f t="shared" si="3"/>
        <v>0</v>
      </c>
      <c r="M34" s="196">
        <f t="shared" si="27"/>
        <v>17177.61827766661</v>
      </c>
      <c r="N34" s="29">
        <f t="shared" si="31"/>
        <v>14740</v>
      </c>
      <c r="O34" s="30">
        <f t="shared" si="2"/>
        <v>2437.6182776666101</v>
      </c>
      <c r="P34" s="43"/>
      <c r="Q34" s="44"/>
      <c r="R34" s="33"/>
      <c r="V34" s="45"/>
      <c r="W34" s="7"/>
      <c r="X34" s="7"/>
      <c r="Y34" s="46"/>
      <c r="Z34" s="7">
        <f t="shared" si="29"/>
        <v>47573.107480732971</v>
      </c>
      <c r="AA34" s="7"/>
      <c r="AC34" s="7"/>
    </row>
    <row r="35" spans="1:29">
      <c r="A35" s="18">
        <v>43818</v>
      </c>
      <c r="B35" s="37">
        <f t="shared" si="0"/>
        <v>-87495.555555555562</v>
      </c>
      <c r="C35" s="29">
        <v>-40000</v>
      </c>
      <c r="D35" s="29">
        <f t="shared" ref="D35" si="33">-I33*O$4*(A35-A33)/360</f>
        <v>-47495.555555555555</v>
      </c>
      <c r="E35" s="38"/>
      <c r="F35" s="39"/>
      <c r="G35" s="47"/>
      <c r="H35" s="24">
        <f t="shared" si="1"/>
        <v>2720811.63508642</v>
      </c>
      <c r="I35" s="41">
        <f t="shared" si="4"/>
        <v>2640000</v>
      </c>
      <c r="J35" s="29">
        <f t="shared" si="5"/>
        <v>0</v>
      </c>
      <c r="K35" s="42">
        <f t="shared" si="6"/>
        <v>80811.635086419963</v>
      </c>
      <c r="L35" s="33">
        <f t="shared" si="3"/>
        <v>0</v>
      </c>
      <c r="M35" s="196">
        <f t="shared" si="25"/>
        <v>28339.507400751292</v>
      </c>
      <c r="N35" s="29">
        <f>I34*O$4*(A35-A34+1)/360</f>
        <v>32755.555555555555</v>
      </c>
      <c r="O35" s="30">
        <f t="shared" si="2"/>
        <v>-4416.0481548042626</v>
      </c>
      <c r="P35" s="43"/>
      <c r="Q35" s="44"/>
      <c r="R35" s="33"/>
      <c r="V35" s="45"/>
      <c r="W35" s="7"/>
      <c r="X35" s="7"/>
      <c r="Y35" s="46"/>
      <c r="Z35" s="7"/>
      <c r="AA35" s="7"/>
      <c r="AC35" s="7"/>
    </row>
    <row r="36" spans="1:29">
      <c r="A36" s="18">
        <v>43830</v>
      </c>
      <c r="B36" s="37">
        <f t="shared" si="0"/>
        <v>0</v>
      </c>
      <c r="C36" s="29"/>
      <c r="D36" s="29">
        <v>0</v>
      </c>
      <c r="E36" s="38"/>
      <c r="F36" s="39"/>
      <c r="G36" s="47"/>
      <c r="H36" s="24">
        <f t="shared" si="1"/>
        <v>2740815.2827167371</v>
      </c>
      <c r="I36" s="41">
        <f t="shared" si="4"/>
        <v>2640000</v>
      </c>
      <c r="J36" s="29">
        <f t="shared" si="5"/>
        <v>17746.666666666668</v>
      </c>
      <c r="K36" s="42">
        <f t="shared" si="6"/>
        <v>83068.616050070748</v>
      </c>
      <c r="L36" s="33">
        <f t="shared" si="3"/>
        <v>0</v>
      </c>
      <c r="M36" s="196">
        <f t="shared" si="27"/>
        <v>20003.647630317457</v>
      </c>
      <c r="N36" s="29">
        <f t="shared" si="31"/>
        <v>17746.666666666668</v>
      </c>
      <c r="O36" s="30">
        <f t="shared" si="2"/>
        <v>2256.9809636507889</v>
      </c>
      <c r="P36" s="43"/>
      <c r="Q36" s="44"/>
      <c r="R36" s="33"/>
      <c r="V36" s="45"/>
      <c r="W36" s="7"/>
      <c r="X36" s="7"/>
      <c r="Y36" s="46"/>
      <c r="Z36" s="7">
        <f t="shared" si="29"/>
        <v>48343.155031068745</v>
      </c>
      <c r="AA36" s="7"/>
      <c r="AC36" s="7"/>
    </row>
    <row r="37" spans="1:29">
      <c r="A37" s="18">
        <v>43850</v>
      </c>
      <c r="B37" s="37">
        <f t="shared" si="0"/>
        <v>-91626.666666666657</v>
      </c>
      <c r="C37" s="29">
        <v>-40000</v>
      </c>
      <c r="D37" s="29">
        <f t="shared" ref="D37" si="34">-I35*O$4*(A37-A35)/360</f>
        <v>-51626.666666666664</v>
      </c>
      <c r="E37" s="38"/>
      <c r="F37" s="39"/>
      <c r="G37" s="47"/>
      <c r="H37" s="24">
        <f t="shared" si="1"/>
        <v>2678689.564774883</v>
      </c>
      <c r="I37" s="41">
        <f t="shared" si="4"/>
        <v>2600000</v>
      </c>
      <c r="J37" s="29">
        <f t="shared" si="5"/>
        <v>0</v>
      </c>
      <c r="K37" s="42">
        <f t="shared" si="6"/>
        <v>78689.564774883125</v>
      </c>
      <c r="L37" s="33">
        <f t="shared" si="3"/>
        <v>0</v>
      </c>
      <c r="M37" s="196">
        <f t="shared" si="25"/>
        <v>29500.948724812373</v>
      </c>
      <c r="N37" s="29">
        <f>I36*O$4*(A37-A36+1)/360</f>
        <v>33880</v>
      </c>
      <c r="O37" s="30">
        <f t="shared" si="2"/>
        <v>-4379.0512751876267</v>
      </c>
      <c r="P37" s="43"/>
      <c r="Q37" s="44"/>
      <c r="R37" s="33"/>
      <c r="V37" s="45"/>
      <c r="W37" s="7"/>
      <c r="X37" s="7"/>
      <c r="Y37" s="46"/>
      <c r="Z37" s="7"/>
      <c r="AA37" s="7"/>
      <c r="AC37" s="7"/>
    </row>
    <row r="38" spans="1:29">
      <c r="A38" s="18">
        <v>43861</v>
      </c>
      <c r="B38" s="37">
        <f t="shared" si="0"/>
        <v>0</v>
      </c>
      <c r="C38" s="29"/>
      <c r="D38" s="29">
        <v>0</v>
      </c>
      <c r="E38" s="38"/>
      <c r="F38" s="39"/>
      <c r="G38" s="47"/>
      <c r="H38" s="24">
        <f t="shared" si="1"/>
        <v>2696863.4800127838</v>
      </c>
      <c r="I38" s="41">
        <f t="shared" si="4"/>
        <v>2600000</v>
      </c>
      <c r="J38" s="29">
        <f t="shared" si="5"/>
        <v>15888.888888888889</v>
      </c>
      <c r="K38" s="42">
        <f t="shared" si="6"/>
        <v>80974.591123894788</v>
      </c>
      <c r="L38" s="33">
        <f t="shared" si="3"/>
        <v>0</v>
      </c>
      <c r="M38" s="196">
        <f t="shared" si="27"/>
        <v>18173.915237900554</v>
      </c>
      <c r="N38" s="29">
        <f t="shared" si="31"/>
        <v>15888.888888888889</v>
      </c>
      <c r="O38" s="30">
        <f t="shared" si="2"/>
        <v>2285.0263490116649</v>
      </c>
      <c r="P38" s="43"/>
      <c r="Q38" s="44"/>
      <c r="R38" s="33"/>
      <c r="V38" s="45"/>
      <c r="W38" s="7"/>
      <c r="X38" s="7"/>
      <c r="Y38" s="46"/>
      <c r="Z38" s="7">
        <f t="shared" si="29"/>
        <v>47674.863962712931</v>
      </c>
      <c r="AA38" s="7"/>
      <c r="AC38" s="7"/>
    </row>
    <row r="39" spans="1:29">
      <c r="A39" s="18">
        <v>43881</v>
      </c>
      <c r="B39" s="37">
        <f t="shared" si="0"/>
        <v>-89255.555555555562</v>
      </c>
      <c r="C39" s="29">
        <v>-40000</v>
      </c>
      <c r="D39" s="29">
        <f t="shared" ref="D39" si="35">-I37*O$4*(A39-A37)/360</f>
        <v>-49255.555555555555</v>
      </c>
      <c r="E39" s="38"/>
      <c r="F39" s="39"/>
      <c r="G39" s="47"/>
      <c r="H39" s="24">
        <f t="shared" si="1"/>
        <v>2636635.7950121583</v>
      </c>
      <c r="I39" s="41">
        <f t="shared" si="4"/>
        <v>2560000</v>
      </c>
      <c r="J39" s="29">
        <f t="shared" si="5"/>
        <v>0</v>
      </c>
      <c r="K39" s="42">
        <f t="shared" si="6"/>
        <v>76635.795012158444</v>
      </c>
      <c r="L39" s="33">
        <f t="shared" si="3"/>
        <v>0</v>
      </c>
      <c r="M39" s="196">
        <f t="shared" si="25"/>
        <v>29027.870554930319</v>
      </c>
      <c r="N39" s="29">
        <f t="shared" ref="N39" si="36">I38*O$4*(A39-A38+1)/360</f>
        <v>33366.666666666664</v>
      </c>
      <c r="O39" s="30">
        <f t="shared" si="2"/>
        <v>-4338.7961117363448</v>
      </c>
      <c r="P39" s="43"/>
      <c r="Q39" s="44"/>
      <c r="R39" s="33"/>
      <c r="V39" s="45"/>
      <c r="W39" s="7"/>
      <c r="X39" s="7"/>
      <c r="Y39" s="46"/>
      <c r="Z39" s="7"/>
      <c r="AA39" s="7"/>
      <c r="AC39" s="7"/>
    </row>
    <row r="40" spans="1:29">
      <c r="A40" s="18">
        <v>43890</v>
      </c>
      <c r="B40" s="37">
        <f t="shared" si="0"/>
        <v>0</v>
      </c>
      <c r="C40" s="29"/>
      <c r="D40" s="29">
        <v>0</v>
      </c>
      <c r="E40" s="38"/>
      <c r="F40" s="39"/>
      <c r="G40" s="47"/>
      <c r="H40" s="24">
        <f t="shared" si="1"/>
        <v>2651534.5522096502</v>
      </c>
      <c r="I40" s="41">
        <f t="shared" si="4"/>
        <v>2560000</v>
      </c>
      <c r="J40" s="29">
        <f t="shared" si="5"/>
        <v>12515.555555555555</v>
      </c>
      <c r="K40" s="42">
        <f t="shared" si="6"/>
        <v>79018.996654094808</v>
      </c>
      <c r="L40" s="33">
        <f t="shared" si="3"/>
        <v>0</v>
      </c>
      <c r="M40" s="196">
        <f t="shared" si="27"/>
        <v>14898.757197491917</v>
      </c>
      <c r="N40" s="29">
        <f t="shared" si="31"/>
        <v>12515.555555555555</v>
      </c>
      <c r="O40" s="30">
        <f t="shared" si="2"/>
        <v>2383.2016419363626</v>
      </c>
      <c r="P40" s="43"/>
      <c r="Q40" s="44"/>
      <c r="R40" s="33"/>
      <c r="V40" s="45"/>
      <c r="W40" s="7"/>
      <c r="X40" s="7"/>
      <c r="Y40" s="46"/>
      <c r="Z40" s="7">
        <f t="shared" si="29"/>
        <v>43926.627752422239</v>
      </c>
      <c r="AA40" s="7"/>
      <c r="AC40" s="7"/>
    </row>
    <row r="41" spans="1:29">
      <c r="A41" s="18">
        <v>43909</v>
      </c>
      <c r="B41" s="37">
        <f t="shared" si="0"/>
        <v>-83804.444444444438</v>
      </c>
      <c r="C41" s="29">
        <v>-40000</v>
      </c>
      <c r="D41" s="29">
        <f t="shared" ref="D41" si="37">-I39*O$4*(A41-A39)/360</f>
        <v>-43804.444444444445</v>
      </c>
      <c r="E41" s="38"/>
      <c r="F41" s="39"/>
      <c r="G41" s="47"/>
      <c r="H41" s="24">
        <f t="shared" si="1"/>
        <v>2594760.343950571</v>
      </c>
      <c r="I41" s="41">
        <f t="shared" si="4"/>
        <v>2520000</v>
      </c>
      <c r="J41" s="29">
        <f t="shared" si="5"/>
        <v>0</v>
      </c>
      <c r="K41" s="42">
        <f t="shared" si="6"/>
        <v>74760.34395057123</v>
      </c>
      <c r="L41" s="33">
        <f t="shared" si="3"/>
        <v>0</v>
      </c>
      <c r="M41" s="196">
        <f t="shared" si="25"/>
        <v>27030.23618536532</v>
      </c>
      <c r="N41" s="29">
        <f t="shared" ref="N41" si="38">I40*O$4*(A41-A40+1)/360</f>
        <v>31288.888888888891</v>
      </c>
      <c r="O41" s="30">
        <f t="shared" si="2"/>
        <v>-4258.6527035235704</v>
      </c>
      <c r="P41" s="43"/>
      <c r="Q41" s="44"/>
      <c r="R41" s="33"/>
      <c r="V41" s="45"/>
      <c r="W41" s="7"/>
      <c r="X41" s="7"/>
      <c r="Y41" s="46"/>
      <c r="Z41" s="7"/>
      <c r="AA41" s="7"/>
      <c r="AC41" s="7"/>
    </row>
    <row r="42" spans="1:29">
      <c r="A42" s="18">
        <v>43921</v>
      </c>
      <c r="B42" s="37">
        <f t="shared" si="0"/>
        <v>0</v>
      </c>
      <c r="C42" s="29"/>
      <c r="D42" s="29">
        <v>0</v>
      </c>
      <c r="E42" s="38"/>
      <c r="F42" s="39"/>
      <c r="G42" s="47"/>
      <c r="H42" s="24">
        <f t="shared" si="1"/>
        <v>2613837.2513469406</v>
      </c>
      <c r="I42" s="41">
        <f t="shared" si="4"/>
        <v>2520000</v>
      </c>
      <c r="J42" s="29">
        <f t="shared" si="5"/>
        <v>16940</v>
      </c>
      <c r="K42" s="42">
        <f t="shared" si="6"/>
        <v>76897.251346940815</v>
      </c>
      <c r="L42" s="33">
        <f t="shared" si="3"/>
        <v>0</v>
      </c>
      <c r="M42" s="196">
        <f t="shared" si="27"/>
        <v>19076.907396369585</v>
      </c>
      <c r="N42" s="29">
        <f t="shared" si="31"/>
        <v>16940</v>
      </c>
      <c r="O42" s="30">
        <f t="shared" si="2"/>
        <v>2136.9073963695846</v>
      </c>
      <c r="P42" s="43"/>
      <c r="Q42" s="44"/>
      <c r="R42" s="33"/>
      <c r="V42" s="45"/>
      <c r="W42" s="7"/>
      <c r="X42" s="7"/>
      <c r="Y42" s="46"/>
      <c r="Z42" s="7">
        <f t="shared" si="29"/>
        <v>46107.143581734905</v>
      </c>
      <c r="AA42" s="7"/>
      <c r="AC42" s="7"/>
    </row>
    <row r="43" spans="1:29">
      <c r="A43" s="18">
        <v>43941</v>
      </c>
      <c r="B43" s="37">
        <f t="shared" si="0"/>
        <v>-89280</v>
      </c>
      <c r="C43" s="29">
        <v>-40000</v>
      </c>
      <c r="D43" s="29">
        <f t="shared" ref="D43" si="39">-I41*O$4*(A43-A41)/360</f>
        <v>-49280</v>
      </c>
      <c r="E43" s="38"/>
      <c r="F43" s="39"/>
      <c r="G43" s="47"/>
      <c r="H43" s="24">
        <f t="shared" si="1"/>
        <v>2552691.463533089</v>
      </c>
      <c r="I43" s="41">
        <f t="shared" si="4"/>
        <v>2480000</v>
      </c>
      <c r="J43" s="29">
        <f t="shared" si="5"/>
        <v>0</v>
      </c>
      <c r="K43" s="42">
        <f t="shared" si="6"/>
        <v>72691.463533089074</v>
      </c>
      <c r="L43" s="33">
        <f t="shared" si="3"/>
        <v>0</v>
      </c>
      <c r="M43" s="196">
        <f t="shared" si="25"/>
        <v>28134.212186148259</v>
      </c>
      <c r="N43" s="29">
        <f t="shared" ref="N43" si="40">I42*O$4*(A43-A42+1)/360</f>
        <v>32340</v>
      </c>
      <c r="O43" s="30">
        <f t="shared" si="2"/>
        <v>-4205.7878138517408</v>
      </c>
      <c r="P43" s="43"/>
      <c r="Q43" s="44"/>
      <c r="R43" s="33"/>
      <c r="V43" s="45"/>
      <c r="W43" s="7"/>
      <c r="X43" s="7"/>
      <c r="Y43" s="46"/>
      <c r="Z43" s="7"/>
      <c r="AA43" s="7"/>
      <c r="AC43" s="7"/>
    </row>
    <row r="44" spans="1:29">
      <c r="A44" s="18">
        <v>43951</v>
      </c>
      <c r="B44" s="37">
        <f t="shared" si="0"/>
        <v>0</v>
      </c>
      <c r="C44" s="29"/>
      <c r="D44" s="29">
        <v>0</v>
      </c>
      <c r="E44" s="38"/>
      <c r="F44" s="39"/>
      <c r="G44" s="47"/>
      <c r="H44" s="24">
        <f t="shared" si="1"/>
        <v>2568562.7959579825</v>
      </c>
      <c r="I44" s="41">
        <f t="shared" si="4"/>
        <v>2480000</v>
      </c>
      <c r="J44" s="29">
        <f t="shared" si="5"/>
        <v>13640</v>
      </c>
      <c r="K44" s="42">
        <f t="shared" si="6"/>
        <v>74922.795957982496</v>
      </c>
      <c r="L44" s="33">
        <f t="shared" si="3"/>
        <v>0</v>
      </c>
      <c r="M44" s="196">
        <f t="shared" si="27"/>
        <v>15871.332424893422</v>
      </c>
      <c r="N44" s="29">
        <f t="shared" si="31"/>
        <v>13640</v>
      </c>
      <c r="O44" s="30">
        <f t="shared" si="2"/>
        <v>2231.3324248934223</v>
      </c>
      <c r="P44" s="43"/>
      <c r="Q44" s="44"/>
      <c r="R44" s="33"/>
      <c r="V44" s="45"/>
      <c r="W44" s="7"/>
      <c r="X44" s="7"/>
      <c r="Y44" s="46"/>
      <c r="Z44" s="7">
        <f t="shared" si="29"/>
        <v>44005.544611041681</v>
      </c>
      <c r="AA44" s="7"/>
      <c r="AC44" s="7"/>
    </row>
    <row r="45" spans="1:29">
      <c r="A45" s="18">
        <v>43971</v>
      </c>
      <c r="B45" s="37">
        <f t="shared" si="0"/>
        <v>-85466.666666666657</v>
      </c>
      <c r="C45" s="29">
        <v>-40000</v>
      </c>
      <c r="D45" s="29">
        <f t="shared" ref="D45" si="41">-I43*O$4*(A45-A43)/360</f>
        <v>-45466.666666666664</v>
      </c>
      <c r="E45" s="38"/>
      <c r="F45" s="39"/>
      <c r="G45" s="47"/>
      <c r="H45" s="24">
        <f t="shared" si="1"/>
        <v>2510743.0268468885</v>
      </c>
      <c r="I45" s="41">
        <f t="shared" si="4"/>
        <v>2440000</v>
      </c>
      <c r="J45" s="29">
        <f t="shared" si="5"/>
        <v>0</v>
      </c>
      <c r="K45" s="42">
        <f t="shared" si="6"/>
        <v>70743.026846888344</v>
      </c>
      <c r="L45" s="33">
        <f t="shared" si="3"/>
        <v>0</v>
      </c>
      <c r="M45" s="196">
        <f t="shared" si="25"/>
        <v>27646.897555572516</v>
      </c>
      <c r="N45" s="29">
        <f t="shared" ref="N45" si="42">I44*O$4*(A45-A44+1)/360</f>
        <v>31826.666666666668</v>
      </c>
      <c r="O45" s="30">
        <f t="shared" si="2"/>
        <v>-4179.7691110941523</v>
      </c>
      <c r="P45" s="43"/>
      <c r="Q45" s="44"/>
      <c r="R45" s="33"/>
      <c r="V45" s="45"/>
      <c r="W45" s="7"/>
      <c r="X45" s="7"/>
      <c r="Y45" s="46"/>
      <c r="Z45" s="7"/>
      <c r="AA45" s="7"/>
      <c r="AC45" s="7"/>
    </row>
    <row r="46" spans="1:29">
      <c r="A46" s="18">
        <v>43982</v>
      </c>
      <c r="B46" s="37">
        <f t="shared" si="0"/>
        <v>0</v>
      </c>
      <c r="C46" s="29"/>
      <c r="D46" s="29">
        <v>0</v>
      </c>
      <c r="E46" s="38"/>
      <c r="F46" s="39"/>
      <c r="G46" s="47"/>
      <c r="H46" s="24">
        <f t="shared" si="1"/>
        <v>2527777.4871121263</v>
      </c>
      <c r="I46" s="41">
        <f t="shared" si="4"/>
        <v>2440000</v>
      </c>
      <c r="J46" s="29">
        <f t="shared" si="5"/>
        <v>14911.111111111111</v>
      </c>
      <c r="K46" s="42">
        <f t="shared" si="6"/>
        <v>72866.37600101516</v>
      </c>
      <c r="L46" s="33">
        <f t="shared" si="3"/>
        <v>0</v>
      </c>
      <c r="M46" s="196">
        <f t="shared" si="27"/>
        <v>17034.460265237929</v>
      </c>
      <c r="N46" s="29">
        <f t="shared" si="31"/>
        <v>14911.111111111111</v>
      </c>
      <c r="O46" s="30">
        <f t="shared" si="2"/>
        <v>2123.3491541268177</v>
      </c>
      <c r="P46" s="43"/>
      <c r="Q46" s="44"/>
      <c r="R46" s="33"/>
      <c r="V46" s="45"/>
      <c r="W46" s="7"/>
      <c r="X46" s="7"/>
      <c r="Y46" s="46"/>
      <c r="Z46" s="7">
        <f t="shared" si="29"/>
        <v>44681.357820810445</v>
      </c>
      <c r="AA46" s="7"/>
      <c r="AC46" s="7"/>
    </row>
    <row r="47" spans="1:29">
      <c r="A47" s="18">
        <v>44002</v>
      </c>
      <c r="B47" s="37">
        <f t="shared" si="0"/>
        <v>-86224.444444444438</v>
      </c>
      <c r="C47" s="29">
        <v>-40000</v>
      </c>
      <c r="D47" s="29">
        <f t="shared" ref="D47" si="43">-I45*O$4*(A47-A45)/360</f>
        <v>-46224.444444444445</v>
      </c>
      <c r="E47" s="38"/>
      <c r="F47" s="39"/>
      <c r="G47" s="47"/>
      <c r="H47" s="24">
        <f t="shared" si="1"/>
        <v>2468760.9448219319</v>
      </c>
      <c r="I47" s="41">
        <f t="shared" si="4"/>
        <v>2400000</v>
      </c>
      <c r="J47" s="29">
        <f t="shared" si="5"/>
        <v>0</v>
      </c>
      <c r="K47" s="42">
        <f t="shared" si="6"/>
        <v>68760.944821931786</v>
      </c>
      <c r="L47" s="33">
        <f t="shared" si="3"/>
        <v>0</v>
      </c>
      <c r="M47" s="196">
        <f t="shared" si="25"/>
        <v>27207.902154249954</v>
      </c>
      <c r="N47" s="29">
        <f t="shared" ref="N47" si="44">I46*O$4*(A47-A46+1)/360</f>
        <v>31313.333333333332</v>
      </c>
      <c r="O47" s="30">
        <f t="shared" si="2"/>
        <v>-4105.4311790833781</v>
      </c>
      <c r="P47" s="43"/>
      <c r="Q47" s="44"/>
      <c r="R47" s="33"/>
      <c r="V47" s="45"/>
      <c r="W47" s="7"/>
      <c r="X47" s="7"/>
      <c r="Y47" s="46"/>
      <c r="Z47" s="7"/>
      <c r="AA47" s="7"/>
      <c r="AC47" s="7"/>
    </row>
    <row r="48" spans="1:29">
      <c r="A48" s="18">
        <v>44012</v>
      </c>
      <c r="B48" s="37">
        <f t="shared" si="0"/>
        <v>0</v>
      </c>
      <c r="C48" s="29"/>
      <c r="D48" s="29">
        <v>0</v>
      </c>
      <c r="E48" s="38"/>
      <c r="F48" s="39"/>
      <c r="G48" s="47"/>
      <c r="H48" s="24">
        <f t="shared" si="1"/>
        <v>2484110.4401262454</v>
      </c>
      <c r="I48" s="41">
        <f t="shared" si="4"/>
        <v>2400000</v>
      </c>
      <c r="J48" s="29">
        <f t="shared" si="5"/>
        <v>13200</v>
      </c>
      <c r="K48" s="42">
        <f t="shared" si="6"/>
        <v>70910.440126245492</v>
      </c>
      <c r="L48" s="33">
        <f t="shared" si="3"/>
        <v>0</v>
      </c>
      <c r="M48" s="196">
        <f t="shared" si="27"/>
        <v>15349.495304313714</v>
      </c>
      <c r="N48" s="29">
        <f t="shared" si="31"/>
        <v>13200</v>
      </c>
      <c r="O48" s="30">
        <f t="shared" si="2"/>
        <v>2149.4953043137139</v>
      </c>
      <c r="P48" s="43"/>
      <c r="Q48" s="44"/>
      <c r="R48" s="33"/>
      <c r="V48" s="45"/>
      <c r="W48" s="7"/>
      <c r="X48" s="7"/>
      <c r="Y48" s="46"/>
      <c r="Z48" s="7">
        <f t="shared" si="29"/>
        <v>42557.397458563668</v>
      </c>
      <c r="AA48" s="7"/>
      <c r="AC48" s="7"/>
    </row>
    <row r="49" spans="1:29">
      <c r="A49" s="18">
        <v>44030</v>
      </c>
      <c r="B49" s="37">
        <f t="shared" si="0"/>
        <v>-81066.666666666657</v>
      </c>
      <c r="C49" s="29">
        <v>-40000</v>
      </c>
      <c r="D49" s="29">
        <f t="shared" ref="D49" si="45">-I47*O$4*(A49-A47)/360</f>
        <v>-41066.666666666664</v>
      </c>
      <c r="E49" s="38"/>
      <c r="F49" s="39"/>
      <c r="G49" s="47"/>
      <c r="H49" s="24">
        <f t="shared" si="1"/>
        <v>2426953.6485677864</v>
      </c>
      <c r="I49" s="41">
        <f t="shared" si="4"/>
        <v>2360000</v>
      </c>
      <c r="J49" s="29">
        <f t="shared" si="5"/>
        <v>0</v>
      </c>
      <c r="K49" s="42">
        <f t="shared" si="6"/>
        <v>66953.648567786207</v>
      </c>
      <c r="L49" s="33">
        <f t="shared" si="3"/>
        <v>0</v>
      </c>
      <c r="M49" s="196">
        <f t="shared" si="25"/>
        <v>23909.875108207387</v>
      </c>
      <c r="N49" s="29">
        <f t="shared" ref="N49" si="46">I48*O$4*(A49-A48+1)/360</f>
        <v>27866.666666666668</v>
      </c>
      <c r="O49" s="30">
        <f t="shared" si="2"/>
        <v>-3956.7915584592811</v>
      </c>
      <c r="P49" s="43"/>
      <c r="Q49" s="44"/>
      <c r="R49" s="33"/>
      <c r="V49" s="45"/>
      <c r="W49" s="7"/>
      <c r="X49" s="7"/>
      <c r="Y49" s="46"/>
      <c r="Z49" s="7"/>
      <c r="AA49" s="7"/>
      <c r="AC49" s="7"/>
    </row>
    <row r="50" spans="1:29">
      <c r="A50" s="18">
        <v>44043</v>
      </c>
      <c r="B50" s="37">
        <f t="shared" si="0"/>
        <v>0</v>
      </c>
      <c r="C50" s="29"/>
      <c r="D50" s="29">
        <v>0</v>
      </c>
      <c r="E50" s="38"/>
      <c r="F50" s="39"/>
      <c r="G50" s="47"/>
      <c r="H50" s="24">
        <f t="shared" si="1"/>
        <v>2446174.799875068</v>
      </c>
      <c r="I50" s="41">
        <f t="shared" si="4"/>
        <v>2360000</v>
      </c>
      <c r="J50" s="29">
        <f t="shared" si="5"/>
        <v>17306.666666666668</v>
      </c>
      <c r="K50" s="42">
        <f t="shared" si="6"/>
        <v>68868.133208401356</v>
      </c>
      <c r="L50" s="33">
        <f t="shared" si="3"/>
        <v>0</v>
      </c>
      <c r="M50" s="196">
        <f t="shared" si="27"/>
        <v>19221.15130728182</v>
      </c>
      <c r="N50" s="29">
        <f t="shared" si="31"/>
        <v>17306.666666666668</v>
      </c>
      <c r="O50" s="30">
        <f t="shared" si="2"/>
        <v>1914.4846406151519</v>
      </c>
      <c r="P50" s="43"/>
      <c r="Q50" s="44"/>
      <c r="R50" s="33"/>
      <c r="V50" s="45"/>
      <c r="W50" s="7"/>
      <c r="X50" s="7"/>
      <c r="Y50" s="46"/>
      <c r="Z50" s="7">
        <f t="shared" si="29"/>
        <v>43131.026415489207</v>
      </c>
      <c r="AA50" s="7"/>
      <c r="AC50" s="7"/>
    </row>
    <row r="51" spans="1:29">
      <c r="A51" s="18">
        <v>44063</v>
      </c>
      <c r="B51" s="37">
        <f t="shared" si="0"/>
        <v>-87593.333333333343</v>
      </c>
      <c r="C51" s="29">
        <v>-40000</v>
      </c>
      <c r="D51" s="29">
        <f t="shared" ref="D51" si="47">-I49*O$4*(A51-A49)/360</f>
        <v>-47593.333333333336</v>
      </c>
      <c r="E51" s="38"/>
      <c r="F51" s="39"/>
      <c r="G51" s="47"/>
      <c r="H51" s="24">
        <f t="shared" si="1"/>
        <v>2384911.0327106421</v>
      </c>
      <c r="I51" s="41">
        <f t="shared" si="4"/>
        <v>2320000</v>
      </c>
      <c r="J51" s="29">
        <f t="shared" si="5"/>
        <v>0</v>
      </c>
      <c r="K51" s="42">
        <f t="shared" si="6"/>
        <v>64911.032710641935</v>
      </c>
      <c r="L51" s="33">
        <f t="shared" si="3"/>
        <v>0</v>
      </c>
      <c r="M51" s="196">
        <f t="shared" si="25"/>
        <v>26329.566168907248</v>
      </c>
      <c r="N51" s="29">
        <f t="shared" ref="N51" si="48">I50*O$4*(A51-A50+1)/360</f>
        <v>30286.666666666668</v>
      </c>
      <c r="O51" s="30">
        <f t="shared" si="2"/>
        <v>-3957.1004977594203</v>
      </c>
      <c r="P51" s="43"/>
      <c r="Q51" s="44"/>
      <c r="R51" s="33"/>
      <c r="V51" s="45"/>
      <c r="W51" s="7"/>
      <c r="X51" s="7"/>
      <c r="Y51" s="46"/>
      <c r="Z51" s="7"/>
      <c r="AA51" s="7"/>
      <c r="AC51" s="7"/>
    </row>
    <row r="52" spans="1:29">
      <c r="A52" s="18">
        <v>44074</v>
      </c>
      <c r="B52" s="37">
        <f t="shared" si="0"/>
        <v>0</v>
      </c>
      <c r="C52" s="29"/>
      <c r="D52" s="29">
        <v>0</v>
      </c>
      <c r="E52" s="38"/>
      <c r="F52" s="39"/>
      <c r="G52" s="47"/>
      <c r="H52" s="24">
        <f t="shared" si="1"/>
        <v>2401091.7695636116</v>
      </c>
      <c r="I52" s="41">
        <f t="shared" si="4"/>
        <v>2320000</v>
      </c>
      <c r="J52" s="29">
        <f t="shared" si="5"/>
        <v>14177.777777777777</v>
      </c>
      <c r="K52" s="42">
        <f t="shared" si="6"/>
        <v>66913.991785833394</v>
      </c>
      <c r="L52" s="33">
        <f t="shared" si="3"/>
        <v>0</v>
      </c>
      <c r="M52" s="196">
        <f t="shared" si="27"/>
        <v>16180.736852969241</v>
      </c>
      <c r="N52" s="29">
        <f t="shared" si="31"/>
        <v>14177.777777777777</v>
      </c>
      <c r="O52" s="30">
        <f t="shared" si="2"/>
        <v>2002.9590751914639</v>
      </c>
      <c r="P52" s="43"/>
      <c r="Q52" s="44"/>
      <c r="R52" s="33"/>
      <c r="V52" s="45"/>
      <c r="W52" s="7"/>
      <c r="X52" s="7"/>
      <c r="Y52" s="46"/>
      <c r="Z52" s="7">
        <f t="shared" si="29"/>
        <v>42510.303021876491</v>
      </c>
      <c r="AA52" s="7"/>
      <c r="AC52" s="7"/>
    </row>
    <row r="53" spans="1:29">
      <c r="A53" s="18">
        <v>44093</v>
      </c>
      <c r="B53" s="37">
        <f t="shared" si="0"/>
        <v>-82533.333333333343</v>
      </c>
      <c r="C53" s="29">
        <v>-40000</v>
      </c>
      <c r="D53" s="29">
        <f t="shared" ref="D53" si="49">-I51*O$4*(A53-A51)/360</f>
        <v>-42533.333333333336</v>
      </c>
      <c r="E53" s="38"/>
      <c r="F53" s="39"/>
      <c r="G53" s="47"/>
      <c r="H53" s="24">
        <f t="shared" si="1"/>
        <v>2343035.6121282708</v>
      </c>
      <c r="I53" s="41">
        <f t="shared" si="4"/>
        <v>2280000</v>
      </c>
      <c r="J53" s="29">
        <f t="shared" si="5"/>
        <v>0</v>
      </c>
      <c r="K53" s="42">
        <f t="shared" si="6"/>
        <v>63035.612128270644</v>
      </c>
      <c r="L53" s="33">
        <f t="shared" si="3"/>
        <v>0</v>
      </c>
      <c r="M53" s="196">
        <f t="shared" si="25"/>
        <v>24477.175897992802</v>
      </c>
      <c r="N53" s="29">
        <f t="shared" ref="N53" si="50">I52*O$4*(A53-A52+1)/360</f>
        <v>28355.555555555555</v>
      </c>
      <c r="O53" s="30">
        <f t="shared" si="2"/>
        <v>-3878.379657562753</v>
      </c>
      <c r="P53" s="43"/>
      <c r="Q53" s="44"/>
      <c r="R53" s="33"/>
      <c r="V53" s="45"/>
      <c r="W53" s="7"/>
      <c r="X53" s="7"/>
      <c r="Y53" s="46"/>
      <c r="Z53" s="7"/>
      <c r="AA53" s="7"/>
      <c r="AC53" s="7"/>
    </row>
    <row r="54" spans="1:29">
      <c r="A54" s="18">
        <v>44104</v>
      </c>
      <c r="B54" s="37">
        <f t="shared" si="0"/>
        <v>0</v>
      </c>
      <c r="C54" s="29"/>
      <c r="D54" s="29">
        <v>0</v>
      </c>
      <c r="E54" s="38"/>
      <c r="F54" s="39"/>
      <c r="G54" s="47"/>
      <c r="H54" s="24">
        <f t="shared" si="1"/>
        <v>2358932.2397831371</v>
      </c>
      <c r="I54" s="41">
        <f t="shared" si="4"/>
        <v>2280000</v>
      </c>
      <c r="J54" s="29">
        <f t="shared" si="5"/>
        <v>13933.333333333334</v>
      </c>
      <c r="K54" s="42">
        <f t="shared" si="6"/>
        <v>64998.906449803406</v>
      </c>
      <c r="L54" s="33">
        <f t="shared" si="3"/>
        <v>0</v>
      </c>
      <c r="M54" s="196">
        <f t="shared" si="27"/>
        <v>15896.627654866097</v>
      </c>
      <c r="N54" s="29">
        <f t="shared" si="31"/>
        <v>13933.333333333334</v>
      </c>
      <c r="O54" s="30">
        <f t="shared" si="2"/>
        <v>1963.2943215327632</v>
      </c>
      <c r="P54" s="43"/>
      <c r="Q54" s="44"/>
      <c r="R54" s="33"/>
      <c r="V54" s="45"/>
      <c r="W54" s="7"/>
      <c r="X54" s="7"/>
      <c r="Y54" s="46"/>
      <c r="Z54" s="7">
        <f t="shared" si="29"/>
        <v>40373.803552858895</v>
      </c>
      <c r="AA54" s="7"/>
      <c r="AC54" s="7"/>
    </row>
    <row r="55" spans="1:29">
      <c r="A55" s="18">
        <v>44124</v>
      </c>
      <c r="B55" s="37">
        <f t="shared" si="0"/>
        <v>-83193.333333333343</v>
      </c>
      <c r="C55" s="29">
        <v>-40000</v>
      </c>
      <c r="D55" s="29">
        <f t="shared" ref="D55" si="51">-I53*O$4*(A55-A53)/360</f>
        <v>-43193.333333333336</v>
      </c>
      <c r="E55" s="38"/>
      <c r="F55" s="39"/>
      <c r="G55" s="47"/>
      <c r="H55" s="24">
        <f t="shared" si="1"/>
        <v>2301129.4314844455</v>
      </c>
      <c r="I55" s="41">
        <f t="shared" si="4"/>
        <v>2240000</v>
      </c>
      <c r="J55" s="29">
        <f t="shared" si="5"/>
        <v>0</v>
      </c>
      <c r="K55" s="42">
        <f t="shared" si="6"/>
        <v>61129.431484445566</v>
      </c>
      <c r="L55" s="33">
        <f t="shared" si="3"/>
        <v>0</v>
      </c>
      <c r="M55" s="196">
        <f t="shared" si="25"/>
        <v>25390.525034642156</v>
      </c>
      <c r="N55" s="29">
        <f t="shared" ref="N55" si="52">I54*O$4*(A55-A54+1)/360</f>
        <v>29260</v>
      </c>
      <c r="O55" s="30">
        <f t="shared" si="2"/>
        <v>-3869.4749653578438</v>
      </c>
      <c r="P55" s="43"/>
      <c r="Q55" s="44"/>
      <c r="R55" s="33"/>
      <c r="V55" s="45"/>
      <c r="W55" s="7"/>
      <c r="X55" s="7"/>
      <c r="Y55" s="46"/>
      <c r="Z55" s="7"/>
      <c r="AA55" s="7"/>
      <c r="AC55" s="7"/>
    </row>
    <row r="56" spans="1:29">
      <c r="A56" s="18">
        <v>44135</v>
      </c>
      <c r="B56" s="37">
        <f t="shared" si="0"/>
        <v>0</v>
      </c>
      <c r="C56" s="29"/>
      <c r="D56" s="29">
        <v>0</v>
      </c>
      <c r="E56" s="38"/>
      <c r="F56" s="39"/>
      <c r="G56" s="47"/>
      <c r="H56" s="24">
        <f t="shared" si="1"/>
        <v>2316741.7412455999</v>
      </c>
      <c r="I56" s="41">
        <f t="shared" si="4"/>
        <v>2240000</v>
      </c>
      <c r="J56" s="29">
        <f t="shared" si="5"/>
        <v>13688.888888888889</v>
      </c>
      <c r="K56" s="42">
        <f t="shared" si="6"/>
        <v>63052.852356710806</v>
      </c>
      <c r="L56" s="33">
        <f t="shared" si="3"/>
        <v>0</v>
      </c>
      <c r="M56" s="196">
        <f t="shared" si="27"/>
        <v>15612.309761154125</v>
      </c>
      <c r="N56" s="29">
        <f t="shared" si="31"/>
        <v>13688.888888888889</v>
      </c>
      <c r="O56" s="30">
        <f t="shared" si="2"/>
        <v>1923.4208722652365</v>
      </c>
      <c r="P56" s="43"/>
      <c r="Q56" s="44"/>
      <c r="R56" s="33"/>
      <c r="V56" s="45"/>
      <c r="W56" s="7"/>
      <c r="X56" s="7"/>
      <c r="Y56" s="46"/>
      <c r="Z56" s="7">
        <f t="shared" si="29"/>
        <v>41002.834795796283</v>
      </c>
      <c r="AA56" s="7"/>
      <c r="AC56" s="7"/>
    </row>
    <row r="57" spans="1:29">
      <c r="A57" s="18">
        <v>44155</v>
      </c>
      <c r="B57" s="37">
        <f t="shared" si="0"/>
        <v>-82435.555555555562</v>
      </c>
      <c r="C57" s="29">
        <v>-40000</v>
      </c>
      <c r="D57" s="29">
        <f t="shared" ref="D57" si="53">-I55*O$4*(A57-A55)/360</f>
        <v>-42435.555555555555</v>
      </c>
      <c r="E57" s="38"/>
      <c r="F57" s="39"/>
      <c r="G57" s="47"/>
      <c r="H57" s="24">
        <f t="shared" si="1"/>
        <v>2259242.5904700747</v>
      </c>
      <c r="I57" s="41">
        <f t="shared" si="4"/>
        <v>2200000</v>
      </c>
      <c r="J57" s="29">
        <f t="shared" si="5"/>
        <v>0</v>
      </c>
      <c r="K57" s="42">
        <f t="shared" si="6"/>
        <v>59242.590470074894</v>
      </c>
      <c r="L57" s="33">
        <f t="shared" si="3"/>
        <v>0</v>
      </c>
      <c r="M57" s="196">
        <f t="shared" si="25"/>
        <v>24936.404780030753</v>
      </c>
      <c r="N57" s="29">
        <f t="shared" ref="N57" si="54">I56*O$4*(A57-A56+1)/360</f>
        <v>28746.666666666668</v>
      </c>
      <c r="O57" s="30">
        <f t="shared" si="2"/>
        <v>-3810.2618866359153</v>
      </c>
      <c r="P57" s="43"/>
      <c r="Q57" s="44"/>
      <c r="R57" s="33"/>
      <c r="V57" s="45"/>
      <c r="W57" s="7"/>
      <c r="X57" s="7"/>
      <c r="Y57" s="46"/>
      <c r="Z57" s="7"/>
      <c r="AA57" s="7"/>
      <c r="AC57" s="7"/>
    </row>
    <row r="58" spans="1:29">
      <c r="A58" s="18">
        <v>44165</v>
      </c>
      <c r="B58" s="37">
        <f t="shared" si="0"/>
        <v>0</v>
      </c>
      <c r="C58" s="29"/>
      <c r="D58" s="29">
        <v>0</v>
      </c>
      <c r="E58" s="38"/>
      <c r="F58" s="39"/>
      <c r="G58" s="47"/>
      <c r="H58" s="24">
        <f t="shared" si="1"/>
        <v>2273289.4076017463</v>
      </c>
      <c r="I58" s="41">
        <f t="shared" si="4"/>
        <v>2200000</v>
      </c>
      <c r="J58" s="29">
        <f t="shared" si="5"/>
        <v>12100</v>
      </c>
      <c r="K58" s="42">
        <f t="shared" si="6"/>
        <v>61189.407601746287</v>
      </c>
      <c r="L58" s="33">
        <f t="shared" si="3"/>
        <v>0</v>
      </c>
      <c r="M58" s="196">
        <f t="shared" si="27"/>
        <v>14046.817131671391</v>
      </c>
      <c r="N58" s="29">
        <f t="shared" si="31"/>
        <v>12100</v>
      </c>
      <c r="O58" s="30">
        <f t="shared" si="2"/>
        <v>1946.8171316713906</v>
      </c>
      <c r="P58" s="43"/>
      <c r="Q58" s="44"/>
      <c r="R58" s="33"/>
      <c r="V58" s="45"/>
      <c r="W58" s="7"/>
      <c r="X58" s="7"/>
      <c r="Y58" s="46"/>
      <c r="Z58" s="7">
        <f t="shared" si="29"/>
        <v>38983.221911702145</v>
      </c>
      <c r="AA58" s="7"/>
      <c r="AC58" s="7"/>
    </row>
    <row r="59" spans="1:29">
      <c r="A59" s="18">
        <v>44184</v>
      </c>
      <c r="B59" s="37">
        <f t="shared" si="0"/>
        <v>-78988.888888888891</v>
      </c>
      <c r="C59" s="29">
        <v>-40000</v>
      </c>
      <c r="D59" s="29">
        <f t="shared" ref="D59" si="55">-I57*O$4*(A59-A57)/360</f>
        <v>-38988.888888888891</v>
      </c>
      <c r="E59" s="38"/>
      <c r="F59" s="39"/>
      <c r="G59" s="47"/>
      <c r="H59" s="24">
        <f t="shared" si="1"/>
        <v>2217474.8535726303</v>
      </c>
      <c r="I59" s="41">
        <f t="shared" si="4"/>
        <v>2160000</v>
      </c>
      <c r="J59" s="29">
        <f t="shared" si="5"/>
        <v>0</v>
      </c>
      <c r="K59" s="42">
        <f t="shared" si="6"/>
        <v>57474.853572630294</v>
      </c>
      <c r="L59" s="33">
        <f t="shared" si="3"/>
        <v>0</v>
      </c>
      <c r="M59" s="196">
        <f t="shared" si="25"/>
        <v>23174.334859772898</v>
      </c>
      <c r="N59" s="29">
        <f t="shared" ref="N59" si="56">I58*O$4*(A59-A58+1)/360</f>
        <v>26888.888888888891</v>
      </c>
      <c r="O59" s="30">
        <f t="shared" si="2"/>
        <v>-3714.5540291159923</v>
      </c>
      <c r="P59" s="43"/>
      <c r="Q59" s="44"/>
      <c r="R59" s="33"/>
      <c r="V59" s="45"/>
      <c r="W59" s="7"/>
      <c r="X59" s="7"/>
      <c r="Y59" s="46"/>
      <c r="Z59" s="7"/>
      <c r="AA59" s="7"/>
      <c r="AC59" s="7"/>
    </row>
    <row r="60" spans="1:29">
      <c r="A60" s="18">
        <v>44196</v>
      </c>
      <c r="B60" s="37">
        <f t="shared" si="0"/>
        <v>0</v>
      </c>
      <c r="C60" s="29"/>
      <c r="D60" s="29">
        <v>0</v>
      </c>
      <c r="E60" s="38"/>
      <c r="F60" s="39"/>
      <c r="G60" s="47"/>
      <c r="H60" s="24">
        <f t="shared" si="1"/>
        <v>2233777.9246959453</v>
      </c>
      <c r="I60" s="41">
        <f t="shared" si="4"/>
        <v>2160000</v>
      </c>
      <c r="J60" s="29">
        <f t="shared" si="5"/>
        <v>14520</v>
      </c>
      <c r="K60" s="42">
        <f t="shared" si="6"/>
        <v>59257.924695945228</v>
      </c>
      <c r="L60" s="33">
        <f t="shared" si="3"/>
        <v>0</v>
      </c>
      <c r="M60" s="196">
        <f t="shared" si="27"/>
        <v>16303.07112331493</v>
      </c>
      <c r="N60" s="29">
        <f t="shared" si="31"/>
        <v>14520</v>
      </c>
      <c r="O60" s="30">
        <f t="shared" si="2"/>
        <v>1783.0711233149304</v>
      </c>
      <c r="P60" s="43"/>
      <c r="Q60" s="44"/>
      <c r="R60" s="33"/>
      <c r="V60" s="45"/>
      <c r="W60" s="7"/>
      <c r="X60" s="7"/>
      <c r="Y60" s="46"/>
      <c r="Z60" s="7">
        <f t="shared" si="29"/>
        <v>39477.405983087825</v>
      </c>
      <c r="AA60" s="7"/>
      <c r="AC60" s="7"/>
    </row>
    <row r="61" spans="1:29">
      <c r="A61" s="18">
        <v>44216</v>
      </c>
      <c r="B61" s="37">
        <f t="shared" si="0"/>
        <v>-82240</v>
      </c>
      <c r="C61" s="29">
        <v>-40000</v>
      </c>
      <c r="D61" s="29">
        <f t="shared" ref="D61" si="57">-I59*O$4*(A61-A59)/360</f>
        <v>-42240</v>
      </c>
      <c r="E61" s="38"/>
      <c r="F61" s="39"/>
      <c r="G61" s="47"/>
      <c r="H61" s="24">
        <f t="shared" si="1"/>
        <v>2175581.3428841834</v>
      </c>
      <c r="I61" s="41">
        <f t="shared" si="4"/>
        <v>2120000</v>
      </c>
      <c r="J61" s="29">
        <f t="shared" si="5"/>
        <v>0</v>
      </c>
      <c r="K61" s="42">
        <f t="shared" si="6"/>
        <v>55581.342884183454</v>
      </c>
      <c r="L61" s="33">
        <f t="shared" si="3"/>
        <v>0</v>
      </c>
      <c r="M61" s="196">
        <f t="shared" si="25"/>
        <v>24043.418188238222</v>
      </c>
      <c r="N61" s="29">
        <f t="shared" ref="N61" si="58">I60*O$4*(A61-A60+1)/360</f>
        <v>27720</v>
      </c>
      <c r="O61" s="30">
        <f t="shared" si="2"/>
        <v>-3676.5818117617782</v>
      </c>
      <c r="P61" s="43"/>
      <c r="Q61" s="44"/>
      <c r="R61" s="33"/>
      <c r="V61" s="45"/>
      <c r="W61" s="7"/>
      <c r="X61" s="7"/>
      <c r="Y61" s="46"/>
      <c r="Z61" s="7"/>
      <c r="AA61" s="7"/>
      <c r="AC61" s="7"/>
    </row>
    <row r="62" spans="1:29">
      <c r="A62" s="18">
        <v>44227</v>
      </c>
      <c r="B62" s="37">
        <f t="shared" si="0"/>
        <v>0</v>
      </c>
      <c r="C62" s="29"/>
      <c r="D62" s="29">
        <v>0</v>
      </c>
      <c r="E62" s="38"/>
      <c r="F62" s="39"/>
      <c r="G62" s="47"/>
      <c r="H62" s="24">
        <f t="shared" si="1"/>
        <v>2190341.8554268372</v>
      </c>
      <c r="I62" s="41">
        <f t="shared" si="4"/>
        <v>2120000</v>
      </c>
      <c r="J62" s="29">
        <f t="shared" si="5"/>
        <v>12955.555555555555</v>
      </c>
      <c r="K62" s="42">
        <f t="shared" si="6"/>
        <v>57386.299871281517</v>
      </c>
      <c r="L62" s="33">
        <f t="shared" si="3"/>
        <v>0</v>
      </c>
      <c r="M62" s="196">
        <f t="shared" si="27"/>
        <v>14760.512542653614</v>
      </c>
      <c r="N62" s="29">
        <f t="shared" si="31"/>
        <v>12955.555555555555</v>
      </c>
      <c r="O62" s="30">
        <f t="shared" si="2"/>
        <v>1804.9569870980595</v>
      </c>
      <c r="P62" s="43"/>
      <c r="Q62" s="44"/>
      <c r="R62" s="33"/>
      <c r="V62" s="45"/>
      <c r="W62" s="7"/>
      <c r="X62" s="7"/>
      <c r="Y62" s="46"/>
      <c r="Z62" s="7">
        <f t="shared" si="29"/>
        <v>38803.930730891836</v>
      </c>
      <c r="AA62" s="7"/>
      <c r="AC62" s="7"/>
    </row>
    <row r="63" spans="1:29">
      <c r="A63" s="18">
        <v>44247</v>
      </c>
      <c r="B63" s="37">
        <f t="shared" si="0"/>
        <v>-80162.222222222219</v>
      </c>
      <c r="C63" s="29">
        <v>-40000</v>
      </c>
      <c r="D63" s="29">
        <f t="shared" ref="D63" si="59">-I61*O$4*(A63-A61)/360</f>
        <v>-40162.222222222219</v>
      </c>
      <c r="E63" s="38"/>
      <c r="F63" s="39"/>
      <c r="G63" s="47"/>
      <c r="H63" s="24">
        <f t="shared" si="1"/>
        <v>2133755.5243543126</v>
      </c>
      <c r="I63" s="41">
        <f t="shared" si="4"/>
        <v>2080000</v>
      </c>
      <c r="J63" s="29">
        <f t="shared" si="5"/>
        <v>0</v>
      </c>
      <c r="K63" s="42">
        <f t="shared" si="6"/>
        <v>53755.524354312482</v>
      </c>
      <c r="L63" s="33">
        <f t="shared" si="3"/>
        <v>0</v>
      </c>
      <c r="M63" s="196">
        <f t="shared" si="25"/>
        <v>23575.891149697629</v>
      </c>
      <c r="N63" s="29">
        <f t="shared" ref="N63" si="60">I62*O$4*(A63-A62+1)/360</f>
        <v>27206.666666666668</v>
      </c>
      <c r="O63" s="30">
        <f t="shared" si="2"/>
        <v>-3630.775516969039</v>
      </c>
      <c r="P63" s="43"/>
      <c r="Q63" s="44"/>
      <c r="R63" s="33"/>
      <c r="V63" s="45"/>
      <c r="W63" s="7"/>
      <c r="X63" s="7"/>
      <c r="Y63" s="46"/>
      <c r="Z63" s="7"/>
      <c r="AA63" s="7"/>
      <c r="AC63" s="7"/>
    </row>
    <row r="64" spans="1:29">
      <c r="A64" s="18">
        <v>44255</v>
      </c>
      <c r="B64" s="37">
        <f t="shared" si="0"/>
        <v>0</v>
      </c>
      <c r="C64" s="29"/>
      <c r="D64" s="29">
        <v>0</v>
      </c>
      <c r="E64" s="38"/>
      <c r="F64" s="39"/>
      <c r="G64" s="47"/>
      <c r="H64" s="24">
        <f t="shared" si="1"/>
        <v>2144603.8971325923</v>
      </c>
      <c r="I64" s="41">
        <f t="shared" si="4"/>
        <v>2080000</v>
      </c>
      <c r="J64" s="29">
        <f t="shared" si="5"/>
        <v>8897.7777777777774</v>
      </c>
      <c r="K64" s="42">
        <f t="shared" si="6"/>
        <v>55706.119354814509</v>
      </c>
      <c r="L64" s="33">
        <f t="shared" si="3"/>
        <v>0</v>
      </c>
      <c r="M64" s="196">
        <f t="shared" si="27"/>
        <v>10848.372778279809</v>
      </c>
      <c r="N64" s="29">
        <f t="shared" si="31"/>
        <v>8897.7777777777774</v>
      </c>
      <c r="O64" s="30">
        <f t="shared" si="2"/>
        <v>1950.5950005020313</v>
      </c>
      <c r="P64" s="43"/>
      <c r="Q64" s="44"/>
      <c r="R64" s="33"/>
      <c r="V64" s="45"/>
      <c r="W64" s="7"/>
      <c r="X64" s="7"/>
      <c r="Y64" s="46"/>
      <c r="Z64" s="7">
        <f t="shared" si="29"/>
        <v>34424.263927977438</v>
      </c>
      <c r="AA64" s="7"/>
      <c r="AC64" s="7"/>
    </row>
    <row r="65" spans="1:29">
      <c r="A65" s="18">
        <v>44275</v>
      </c>
      <c r="B65" s="37">
        <f t="shared" si="0"/>
        <v>-75591.111111111109</v>
      </c>
      <c r="C65" s="29">
        <v>-40000</v>
      </c>
      <c r="D65" s="29">
        <f t="shared" ref="D65" si="61">-I63*O$4*(A65-A63)/360</f>
        <v>-35591.111111111109</v>
      </c>
      <c r="E65" s="38"/>
      <c r="F65" s="39"/>
      <c r="G65" s="47"/>
      <c r="H65" s="24">
        <f t="shared" si="1"/>
        <v>2092096.373596062</v>
      </c>
      <c r="I65" s="41">
        <f t="shared" si="4"/>
        <v>2040000</v>
      </c>
      <c r="J65" s="29">
        <f t="shared" si="5"/>
        <v>0</v>
      </c>
      <c r="K65" s="42">
        <f t="shared" si="6"/>
        <v>52096.37359606204</v>
      </c>
      <c r="L65" s="33">
        <f t="shared" si="3"/>
        <v>0</v>
      </c>
      <c r="M65" s="196">
        <f t="shared" si="25"/>
        <v>23083.587574580859</v>
      </c>
      <c r="N65" s="29">
        <f t="shared" ref="N65" si="62">I64*O$4*(A65-A64+1)/360</f>
        <v>26693.333333333332</v>
      </c>
      <c r="O65" s="30">
        <f t="shared" si="2"/>
        <v>-3609.7457587524732</v>
      </c>
      <c r="P65" s="43"/>
      <c r="Q65" s="44"/>
      <c r="R65" s="33"/>
      <c r="V65" s="45"/>
      <c r="W65" s="7"/>
      <c r="X65" s="7"/>
      <c r="Y65" s="46"/>
      <c r="Z65" s="7"/>
      <c r="AA65" s="7"/>
      <c r="AC65" s="7"/>
    </row>
    <row r="66" spans="1:29">
      <c r="A66" s="18">
        <v>44286</v>
      </c>
      <c r="B66" s="37">
        <f t="shared" si="0"/>
        <v>0</v>
      </c>
      <c r="C66" s="29"/>
      <c r="D66" s="29">
        <v>0</v>
      </c>
      <c r="E66" s="38"/>
      <c r="F66" s="39"/>
      <c r="G66" s="47"/>
      <c r="H66" s="24">
        <f t="shared" si="1"/>
        <v>2106290.4715845869</v>
      </c>
      <c r="I66" s="41">
        <f t="shared" si="4"/>
        <v>2040000</v>
      </c>
      <c r="J66" s="29">
        <f t="shared" si="5"/>
        <v>12466.666666666666</v>
      </c>
      <c r="K66" s="42">
        <f t="shared" si="6"/>
        <v>53823.80491792033</v>
      </c>
      <c r="L66" s="33">
        <f t="shared" si="3"/>
        <v>0</v>
      </c>
      <c r="M66" s="196">
        <f t="shared" si="27"/>
        <v>14194.097988524958</v>
      </c>
      <c r="N66" s="29">
        <f t="shared" si="31"/>
        <v>12466.666666666666</v>
      </c>
      <c r="O66" s="30">
        <f t="shared" si="2"/>
        <v>1727.431321858292</v>
      </c>
      <c r="P66" s="43"/>
      <c r="Q66" s="44"/>
      <c r="R66" s="33"/>
      <c r="V66" s="45"/>
      <c r="W66" s="7"/>
      <c r="X66" s="7"/>
      <c r="Y66" s="46"/>
      <c r="Z66" s="7">
        <f t="shared" si="29"/>
        <v>37277.685563105813</v>
      </c>
      <c r="AA66" s="7"/>
      <c r="AC66" s="7"/>
    </row>
    <row r="67" spans="1:29">
      <c r="A67" s="18">
        <v>44306</v>
      </c>
      <c r="B67" s="37">
        <f t="shared" si="0"/>
        <v>-78646.666666666657</v>
      </c>
      <c r="C67" s="29">
        <v>-40000</v>
      </c>
      <c r="D67" s="29">
        <f t="shared" ref="D67" si="63">-I65*O$4*(A67-A65)/360</f>
        <v>-38646.666666666664</v>
      </c>
      <c r="E67" s="38"/>
      <c r="F67" s="39"/>
      <c r="G67" s="47"/>
      <c r="H67" s="24">
        <f t="shared" si="1"/>
        <v>2050315.003372486</v>
      </c>
      <c r="I67" s="41">
        <f t="shared" si="4"/>
        <v>2000000</v>
      </c>
      <c r="J67" s="29">
        <f t="shared" si="5"/>
        <v>0</v>
      </c>
      <c r="K67" s="42">
        <f t="shared" si="6"/>
        <v>50315.00337248604</v>
      </c>
      <c r="L67" s="33">
        <f t="shared" si="3"/>
        <v>0</v>
      </c>
      <c r="M67" s="196">
        <f t="shared" si="25"/>
        <v>22671.198454565711</v>
      </c>
      <c r="N67" s="29">
        <f t="shared" ref="N67" si="64">I66*O$4*(A67-A66+1)/360</f>
        <v>26180</v>
      </c>
      <c r="O67" s="30">
        <f t="shared" si="2"/>
        <v>-3508.8015454342894</v>
      </c>
      <c r="P67" s="43"/>
      <c r="Q67" s="44"/>
      <c r="R67" s="33"/>
      <c r="V67" s="45"/>
      <c r="W67" s="7"/>
      <c r="X67" s="7"/>
      <c r="Y67" s="46"/>
      <c r="Z67" s="7"/>
      <c r="AA67" s="7"/>
      <c r="AC67" s="7"/>
    </row>
    <row r="68" spans="1:29">
      <c r="A68" s="18">
        <v>44316</v>
      </c>
      <c r="B68" s="37">
        <f t="shared" si="0"/>
        <v>0</v>
      </c>
      <c r="C68" s="29"/>
      <c r="D68" s="29">
        <v>0</v>
      </c>
      <c r="E68" s="38"/>
      <c r="F68" s="39"/>
      <c r="G68" s="47"/>
      <c r="H68" s="24">
        <f t="shared" si="1"/>
        <v>2063062.8154207279</v>
      </c>
      <c r="I68" s="41">
        <f t="shared" si="4"/>
        <v>2000000</v>
      </c>
      <c r="J68" s="29">
        <f t="shared" si="5"/>
        <v>11000</v>
      </c>
      <c r="K68" s="42">
        <f t="shared" si="6"/>
        <v>52062.815420727879</v>
      </c>
      <c r="L68" s="33">
        <f t="shared" si="3"/>
        <v>0</v>
      </c>
      <c r="M68" s="196">
        <f t="shared" si="27"/>
        <v>12747.812048241838</v>
      </c>
      <c r="N68" s="29">
        <f t="shared" si="31"/>
        <v>11000</v>
      </c>
      <c r="O68" s="30">
        <f t="shared" si="2"/>
        <v>1747.8120482418381</v>
      </c>
      <c r="P68" s="43"/>
      <c r="Q68" s="44"/>
      <c r="R68" s="33"/>
      <c r="V68" s="45"/>
      <c r="W68" s="7"/>
      <c r="X68" s="7"/>
      <c r="Y68" s="46"/>
      <c r="Z68" s="7">
        <f t="shared" si="29"/>
        <v>35419.010502807549</v>
      </c>
      <c r="AA68" s="7"/>
      <c r="AC68" s="7"/>
    </row>
    <row r="69" spans="1:29">
      <c r="A69" s="18">
        <v>44336</v>
      </c>
      <c r="B69" s="37">
        <f t="shared" si="0"/>
        <v>-76666.666666666657</v>
      </c>
      <c r="C69" s="29">
        <v>-40000</v>
      </c>
      <c r="D69" s="29">
        <f t="shared" ref="D69" si="65">-I67*O$4*(A69-A67)/360</f>
        <v>-36666.666666666664</v>
      </c>
      <c r="E69" s="38"/>
      <c r="F69" s="39"/>
      <c r="G69" s="47"/>
      <c r="H69" s="24">
        <f t="shared" si="1"/>
        <v>2008602.0634384928</v>
      </c>
      <c r="I69" s="41">
        <f t="shared" si="4"/>
        <v>1960000</v>
      </c>
      <c r="J69" s="29">
        <f t="shared" si="5"/>
        <v>0</v>
      </c>
      <c r="K69" s="42">
        <f t="shared" si="6"/>
        <v>48602.06343849274</v>
      </c>
      <c r="L69" s="33">
        <f t="shared" si="3"/>
        <v>0</v>
      </c>
      <c r="M69" s="196">
        <f t="shared" si="25"/>
        <v>22205.914684431529</v>
      </c>
      <c r="N69" s="29">
        <f t="shared" ref="N69" si="66">I68*O$4*(A69-A68+1)/360</f>
        <v>25666.666666666668</v>
      </c>
      <c r="O69" s="30">
        <f t="shared" si="2"/>
        <v>-3460.7519822351387</v>
      </c>
      <c r="P69" s="43"/>
      <c r="Q69" s="44"/>
      <c r="R69" s="33"/>
      <c r="V69" s="45"/>
      <c r="W69" s="7"/>
      <c r="X69" s="7"/>
      <c r="Y69" s="46"/>
      <c r="Z69" s="7"/>
      <c r="AA69" s="7"/>
      <c r="AC69" s="7"/>
    </row>
    <row r="70" spans="1:29">
      <c r="A70" s="18">
        <v>44347</v>
      </c>
      <c r="B70" s="37">
        <f t="shared" si="0"/>
        <v>0</v>
      </c>
      <c r="C70" s="29"/>
      <c r="D70" s="29">
        <v>0</v>
      </c>
      <c r="E70" s="38"/>
      <c r="F70" s="39"/>
      <c r="G70" s="47"/>
      <c r="H70" s="24">
        <f t="shared" si="1"/>
        <v>2022229.6834985542</v>
      </c>
      <c r="I70" s="41">
        <f t="shared" si="4"/>
        <v>1960000</v>
      </c>
      <c r="J70" s="29">
        <f t="shared" si="5"/>
        <v>11977.777777777777</v>
      </c>
      <c r="K70" s="42">
        <f t="shared" si="6"/>
        <v>50251.905720776354</v>
      </c>
      <c r="L70" s="33">
        <f t="shared" si="3"/>
        <v>0</v>
      </c>
      <c r="M70" s="196">
        <f t="shared" si="27"/>
        <v>13627.620060061394</v>
      </c>
      <c r="N70" s="29">
        <f t="shared" si="31"/>
        <v>11977.777777777777</v>
      </c>
      <c r="O70" s="30">
        <f t="shared" si="2"/>
        <v>1649.8422822836164</v>
      </c>
      <c r="P70" s="43"/>
      <c r="Q70" s="44"/>
      <c r="R70" s="33"/>
      <c r="V70" s="45"/>
      <c r="W70" s="7"/>
      <c r="X70" s="7"/>
      <c r="Y70" s="46"/>
      <c r="Z70" s="7">
        <f t="shared" si="29"/>
        <v>35833.534744492921</v>
      </c>
      <c r="AA70" s="7"/>
      <c r="AC70" s="7"/>
    </row>
    <row r="71" spans="1:29">
      <c r="A71" s="18">
        <v>44367</v>
      </c>
      <c r="B71" s="37">
        <f t="shared" si="0"/>
        <v>-77131.111111111109</v>
      </c>
      <c r="C71" s="29">
        <v>-40000</v>
      </c>
      <c r="D71" s="29">
        <f t="shared" ref="D71" si="67">-I69*O$4*(A71-A69)/360</f>
        <v>-37131.111111111109</v>
      </c>
      <c r="E71" s="38"/>
      <c r="F71" s="39"/>
      <c r="G71" s="47"/>
      <c r="H71" s="24">
        <f t="shared" si="1"/>
        <v>1966864.9769236695</v>
      </c>
      <c r="I71" s="41">
        <f t="shared" si="4"/>
        <v>1920000</v>
      </c>
      <c r="J71" s="29">
        <f t="shared" si="5"/>
        <v>0</v>
      </c>
      <c r="K71" s="42">
        <f t="shared" si="6"/>
        <v>46864.976923669485</v>
      </c>
      <c r="L71" s="33">
        <f t="shared" si="3"/>
        <v>0</v>
      </c>
      <c r="M71" s="196">
        <f t="shared" si="25"/>
        <v>21766.404536226462</v>
      </c>
      <c r="N71" s="29">
        <f t="shared" ref="N71" si="68">I70*O$4*(A71-A70+1)/360</f>
        <v>25153.333333333332</v>
      </c>
      <c r="O71" s="30">
        <f t="shared" si="2"/>
        <v>-3386.9287971068698</v>
      </c>
      <c r="P71" s="43"/>
      <c r="Q71" s="44"/>
      <c r="R71" s="33"/>
      <c r="V71" s="45"/>
      <c r="W71" s="7"/>
      <c r="X71" s="7"/>
      <c r="Y71" s="46"/>
      <c r="Z71" s="7"/>
      <c r="AA71" s="7"/>
      <c r="AC71" s="7"/>
    </row>
    <row r="72" spans="1:29">
      <c r="A72" s="18">
        <v>44377</v>
      </c>
      <c r="B72" s="37">
        <f t="shared" si="0"/>
        <v>0</v>
      </c>
      <c r="C72" s="29"/>
      <c r="D72" s="29">
        <v>0</v>
      </c>
      <c r="E72" s="38"/>
      <c r="F72" s="39"/>
      <c r="G72" s="47"/>
      <c r="H72" s="24">
        <f t="shared" si="1"/>
        <v>1979093.9393069376</v>
      </c>
      <c r="I72" s="41">
        <f t="shared" si="4"/>
        <v>1920000</v>
      </c>
      <c r="J72" s="29">
        <f t="shared" si="5"/>
        <v>10560</v>
      </c>
      <c r="K72" s="42">
        <f t="shared" si="6"/>
        <v>48533.939306937646</v>
      </c>
      <c r="L72" s="33">
        <f t="shared" si="3"/>
        <v>0</v>
      </c>
      <c r="M72" s="196">
        <f t="shared" si="27"/>
        <v>12228.962383268159</v>
      </c>
      <c r="N72" s="29">
        <f t="shared" si="31"/>
        <v>10560</v>
      </c>
      <c r="O72" s="30">
        <f t="shared" si="2"/>
        <v>1668.9623832681591</v>
      </c>
      <c r="P72" s="43"/>
      <c r="Q72" s="44"/>
      <c r="R72" s="33"/>
      <c r="V72" s="45"/>
      <c r="W72" s="7"/>
      <c r="X72" s="7"/>
      <c r="Y72" s="46"/>
      <c r="Z72" s="7">
        <f t="shared" si="29"/>
        <v>33995.36691949462</v>
      </c>
      <c r="AA72" s="7"/>
      <c r="AC72" s="7"/>
    </row>
    <row r="73" spans="1:29">
      <c r="A73" s="18">
        <v>44397</v>
      </c>
      <c r="B73" s="37">
        <f t="shared" si="0"/>
        <v>-75200</v>
      </c>
      <c r="C73" s="29">
        <v>-40000</v>
      </c>
      <c r="D73" s="29">
        <f t="shared" ref="D73" si="69">-I71*O$4*(A73-A71)/360</f>
        <v>-35200</v>
      </c>
      <c r="E73" s="38"/>
      <c r="F73" s="39"/>
      <c r="G73" s="47"/>
      <c r="H73" s="24">
        <f t="shared" si="1"/>
        <v>1925196.0493736945</v>
      </c>
      <c r="I73" s="41">
        <f t="shared" si="4"/>
        <v>1880000</v>
      </c>
      <c r="J73" s="29">
        <f t="shared" si="5"/>
        <v>0</v>
      </c>
      <c r="K73" s="42">
        <f t="shared" si="6"/>
        <v>45196.049373694375</v>
      </c>
      <c r="L73" s="33">
        <f t="shared" si="3"/>
        <v>0</v>
      </c>
      <c r="M73" s="196">
        <f t="shared" si="25"/>
        <v>21302.11006675673</v>
      </c>
      <c r="N73" s="29">
        <f t="shared" ref="N73" si="70">I72*O$4*(A73-A72+1)/360</f>
        <v>24640</v>
      </c>
      <c r="O73" s="30">
        <f t="shared" si="2"/>
        <v>-3337.8899332432702</v>
      </c>
      <c r="P73" s="43"/>
      <c r="Q73" s="44"/>
      <c r="R73" s="33"/>
      <c r="V73" s="45"/>
      <c r="W73" s="7"/>
      <c r="X73" s="7"/>
      <c r="Y73" s="46"/>
      <c r="Z73" s="7"/>
      <c r="AA73" s="7"/>
      <c r="AC73" s="7"/>
    </row>
    <row r="74" spans="1:29">
      <c r="A74" s="18">
        <v>44408</v>
      </c>
      <c r="B74" s="37">
        <f t="shared" si="0"/>
        <v>0</v>
      </c>
      <c r="C74" s="29"/>
      <c r="D74" s="29">
        <v>0</v>
      </c>
      <c r="E74" s="38"/>
      <c r="F74" s="39"/>
      <c r="G74" s="47"/>
      <c r="H74" s="24">
        <f t="shared" si="1"/>
        <v>1938257.7905615349</v>
      </c>
      <c r="I74" s="41">
        <f t="shared" si="4"/>
        <v>1880000</v>
      </c>
      <c r="J74" s="29">
        <f t="shared" si="5"/>
        <v>11488.888888888889</v>
      </c>
      <c r="K74" s="42">
        <f t="shared" si="6"/>
        <v>46768.901672645952</v>
      </c>
      <c r="L74" s="33">
        <f t="shared" si="3"/>
        <v>0</v>
      </c>
      <c r="M74" s="196">
        <f t="shared" si="27"/>
        <v>13061.741187840464</v>
      </c>
      <c r="N74" s="29">
        <f t="shared" si="31"/>
        <v>11488.888888888889</v>
      </c>
      <c r="O74" s="30">
        <f t="shared" si="2"/>
        <v>1572.852298951575</v>
      </c>
      <c r="P74" s="43"/>
      <c r="Q74" s="44"/>
      <c r="R74" s="33"/>
      <c r="V74" s="45"/>
      <c r="W74" s="7"/>
      <c r="X74" s="7"/>
      <c r="Y74" s="46"/>
      <c r="Z74" s="7">
        <f t="shared" si="29"/>
        <v>34363.85125459719</v>
      </c>
      <c r="AA74" s="7"/>
      <c r="AC74" s="7"/>
    </row>
    <row r="75" spans="1:29">
      <c r="A75" s="18">
        <v>44428</v>
      </c>
      <c r="B75" s="37">
        <f t="shared" si="0"/>
        <v>-75615.555555555562</v>
      </c>
      <c r="C75" s="29">
        <v>-40000</v>
      </c>
      <c r="D75" s="29">
        <f t="shared" ref="D75" si="71">-I73*O$4*(A75-A73)/360</f>
        <v>-35615.555555555555</v>
      </c>
      <c r="E75" s="38"/>
      <c r="F75" s="39"/>
      <c r="G75" s="47"/>
      <c r="H75" s="24">
        <f t="shared" si="1"/>
        <v>1883504.8024527521</v>
      </c>
      <c r="I75" s="41">
        <f t="shared" si="4"/>
        <v>1840000</v>
      </c>
      <c r="J75" s="29">
        <f t="shared" si="5"/>
        <v>0</v>
      </c>
      <c r="K75" s="42">
        <f t="shared" si="6"/>
        <v>43504.802452752221</v>
      </c>
      <c r="L75" s="33">
        <f t="shared" si="3"/>
        <v>0</v>
      </c>
      <c r="M75" s="196">
        <f t="shared" si="25"/>
        <v>20862.567446772937</v>
      </c>
      <c r="N75" s="29">
        <f t="shared" ref="N75" si="72">I74*O$4*(A75-A74+1)/360</f>
        <v>24126.666666666668</v>
      </c>
      <c r="O75" s="30">
        <f t="shared" si="2"/>
        <v>-3264.0992198937311</v>
      </c>
      <c r="P75" s="43"/>
      <c r="Q75" s="44"/>
      <c r="R75" s="33"/>
      <c r="V75" s="45"/>
      <c r="W75" s="7"/>
      <c r="X75" s="7"/>
      <c r="Y75" s="46"/>
      <c r="Z75" s="7"/>
      <c r="AA75" s="7"/>
      <c r="AC75" s="7"/>
    </row>
    <row r="76" spans="1:29">
      <c r="A76" s="18">
        <v>44439</v>
      </c>
      <c r="B76" s="37">
        <f t="shared" si="0"/>
        <v>0</v>
      </c>
      <c r="C76" s="29"/>
      <c r="D76" s="29">
        <v>0</v>
      </c>
      <c r="E76" s="38"/>
      <c r="F76" s="39"/>
      <c r="G76" s="47"/>
      <c r="H76" s="24">
        <f t="shared" si="1"/>
        <v>1896283.6839924769</v>
      </c>
      <c r="I76" s="41">
        <f t="shared" si="4"/>
        <v>1840000</v>
      </c>
      <c r="J76" s="29">
        <f t="shared" si="5"/>
        <v>11244.444444444445</v>
      </c>
      <c r="K76" s="42">
        <f t="shared" si="6"/>
        <v>45039.239548032478</v>
      </c>
      <c r="L76" s="33">
        <f t="shared" si="3"/>
        <v>0</v>
      </c>
      <c r="M76" s="196">
        <f t="shared" si="27"/>
        <v>12778.8815397247</v>
      </c>
      <c r="N76" s="29">
        <f t="shared" si="31"/>
        <v>11244.444444444445</v>
      </c>
      <c r="O76" s="30">
        <f t="shared" si="2"/>
        <v>1534.4370952802547</v>
      </c>
      <c r="P76" s="43"/>
      <c r="Q76" s="44"/>
      <c r="R76" s="33"/>
      <c r="V76" s="45"/>
      <c r="W76" s="7"/>
      <c r="X76" s="7"/>
      <c r="Y76" s="46"/>
      <c r="Z76" s="7">
        <f t="shared" si="29"/>
        <v>33641.448986497635</v>
      </c>
      <c r="AA76" s="7"/>
      <c r="AC76" s="7"/>
    </row>
    <row r="77" spans="1:29">
      <c r="A77" s="18">
        <v>44459</v>
      </c>
      <c r="B77" s="37">
        <f t="shared" si="0"/>
        <v>-74857.777777777781</v>
      </c>
      <c r="C77" s="29">
        <v>-40000</v>
      </c>
      <c r="D77" s="29">
        <f t="shared" ref="D77" si="73">-I75*O$4*(A77-A75)/360</f>
        <v>-34857.777777777781</v>
      </c>
      <c r="E77" s="38"/>
      <c r="F77" s="39"/>
      <c r="G77" s="47"/>
      <c r="H77" s="24">
        <f t="shared" si="1"/>
        <v>1841836.6825562955</v>
      </c>
      <c r="I77" s="41">
        <f t="shared" si="4"/>
        <v>1800000</v>
      </c>
      <c r="J77" s="29">
        <f t="shared" si="5"/>
        <v>0</v>
      </c>
      <c r="K77" s="42">
        <f t="shared" si="6"/>
        <v>41836.682556295447</v>
      </c>
      <c r="L77" s="33">
        <f t="shared" si="3"/>
        <v>0</v>
      </c>
      <c r="M77" s="196">
        <f t="shared" si="25"/>
        <v>20410.776341596305</v>
      </c>
      <c r="N77" s="29">
        <f t="shared" ref="N77" si="74">I76*O$4*(A77-A76+1)/360</f>
        <v>23613.333333333332</v>
      </c>
      <c r="O77" s="30">
        <f t="shared" si="2"/>
        <v>-3202.5569917370267</v>
      </c>
      <c r="P77" s="43"/>
      <c r="Q77" s="44"/>
      <c r="R77" s="33"/>
      <c r="V77" s="45"/>
      <c r="W77" s="7"/>
      <c r="X77" s="7"/>
      <c r="Y77" s="46"/>
      <c r="Z77" s="7"/>
      <c r="AA77" s="7"/>
      <c r="AC77" s="7"/>
    </row>
    <row r="78" spans="1:29">
      <c r="A78" s="18">
        <v>44469</v>
      </c>
      <c r="B78" s="37">
        <f t="shared" si="0"/>
        <v>0</v>
      </c>
      <c r="C78" s="29"/>
      <c r="D78" s="29">
        <v>0</v>
      </c>
      <c r="E78" s="38"/>
      <c r="F78" s="39"/>
      <c r="G78" s="47"/>
      <c r="H78" s="24">
        <f t="shared" si="1"/>
        <v>1853288.2828295045</v>
      </c>
      <c r="I78" s="41">
        <f t="shared" si="4"/>
        <v>1800000</v>
      </c>
      <c r="J78" s="29">
        <f t="shared" si="5"/>
        <v>9900</v>
      </c>
      <c r="K78" s="42">
        <f t="shared" si="6"/>
        <v>43388.282829504475</v>
      </c>
      <c r="L78" s="33">
        <f t="shared" si="3"/>
        <v>0</v>
      </c>
      <c r="M78" s="196">
        <f t="shared" si="27"/>
        <v>11451.600273209026</v>
      </c>
      <c r="N78" s="29">
        <f t="shared" si="31"/>
        <v>9900</v>
      </c>
      <c r="O78" s="30">
        <f t="shared" si="2"/>
        <v>1551.6002732090255</v>
      </c>
      <c r="P78" s="43"/>
      <c r="Q78" s="44"/>
      <c r="R78" s="33"/>
      <c r="V78" s="45"/>
      <c r="W78" s="7"/>
      <c r="X78" s="7"/>
      <c r="Y78" s="46"/>
      <c r="Z78" s="7">
        <f t="shared" si="29"/>
        <v>31862.376614805333</v>
      </c>
      <c r="AA78" s="7"/>
      <c r="AC78" s="7"/>
    </row>
    <row r="79" spans="1:29">
      <c r="A79" s="18">
        <v>44489</v>
      </c>
      <c r="B79" s="37">
        <f t="shared" si="0"/>
        <v>-73000</v>
      </c>
      <c r="C79" s="29">
        <v>-40000</v>
      </c>
      <c r="D79" s="29">
        <f t="shared" ref="D79" si="75">-I77*O$4*(A79-A77)/360</f>
        <v>-33000</v>
      </c>
      <c r="E79" s="38"/>
      <c r="F79" s="39"/>
      <c r="G79" s="47"/>
      <c r="H79" s="24">
        <f t="shared" si="1"/>
        <v>1800236.2752932124</v>
      </c>
      <c r="I79" s="41">
        <f t="shared" si="4"/>
        <v>1760000</v>
      </c>
      <c r="J79" s="29">
        <f t="shared" si="5"/>
        <v>0</v>
      </c>
      <c r="K79" s="42">
        <f t="shared" si="6"/>
        <v>40236.275293212326</v>
      </c>
      <c r="L79" s="33">
        <f t="shared" si="3"/>
        <v>0</v>
      </c>
      <c r="M79" s="196">
        <f t="shared" si="25"/>
        <v>19947.992463707855</v>
      </c>
      <c r="N79" s="29">
        <f t="shared" ref="N79" si="76">I78*O$4*(A79-A78+1)/360</f>
        <v>23100</v>
      </c>
      <c r="O79" s="30">
        <f t="shared" si="2"/>
        <v>-3152.0075362921452</v>
      </c>
      <c r="P79" s="43"/>
      <c r="Q79" s="44"/>
      <c r="R79" s="33"/>
      <c r="V79" s="45"/>
      <c r="W79" s="7"/>
      <c r="X79" s="7"/>
      <c r="Y79" s="46"/>
      <c r="Z79" s="7"/>
      <c r="AA79" s="7"/>
      <c r="AC79" s="7"/>
    </row>
    <row r="80" spans="1:29">
      <c r="A80" s="18">
        <v>44500</v>
      </c>
      <c r="B80" s="37">
        <f t="shared" si="0"/>
        <v>0</v>
      </c>
      <c r="C80" s="29"/>
      <c r="D80" s="29">
        <v>0</v>
      </c>
      <c r="E80" s="38"/>
      <c r="F80" s="39"/>
      <c r="G80" s="47"/>
      <c r="H80" s="24">
        <f t="shared" si="1"/>
        <v>1812450.2107583778</v>
      </c>
      <c r="I80" s="41">
        <f t="shared" si="4"/>
        <v>1760000</v>
      </c>
      <c r="J80" s="29">
        <f t="shared" si="5"/>
        <v>10755.555555555555</v>
      </c>
      <c r="K80" s="42">
        <f t="shared" si="6"/>
        <v>41694.655202822258</v>
      </c>
      <c r="L80" s="33">
        <f t="shared" si="3"/>
        <v>0</v>
      </c>
      <c r="M80" s="196">
        <f t="shared" si="27"/>
        <v>12213.935465165488</v>
      </c>
      <c r="N80" s="29">
        <f t="shared" si="31"/>
        <v>10755.555555555555</v>
      </c>
      <c r="O80" s="30">
        <f t="shared" si="2"/>
        <v>1458.3799096099337</v>
      </c>
      <c r="P80" s="43"/>
      <c r="Q80" s="44"/>
      <c r="R80" s="33"/>
      <c r="V80" s="45"/>
      <c r="W80" s="7"/>
      <c r="X80" s="7"/>
      <c r="Y80" s="46"/>
      <c r="Z80" s="7">
        <f t="shared" si="29"/>
        <v>32161.927928873345</v>
      </c>
      <c r="AA80" s="7"/>
      <c r="AC80" s="7"/>
    </row>
    <row r="81" spans="1:29">
      <c r="A81" s="18">
        <v>44520</v>
      </c>
      <c r="B81" s="37">
        <f t="shared" si="0"/>
        <v>-73342.222222222219</v>
      </c>
      <c r="C81" s="29">
        <v>-40000</v>
      </c>
      <c r="D81" s="29">
        <f t="shared" ref="D81" si="77">-I79*O$4*(A81-A79)/360</f>
        <v>-33342.222222222219</v>
      </c>
      <c r="E81" s="38"/>
      <c r="F81" s="39"/>
      <c r="G81" s="47"/>
      <c r="H81" s="24">
        <f t="shared" si="1"/>
        <v>1758616.4176780344</v>
      </c>
      <c r="I81" s="41">
        <f t="shared" si="4"/>
        <v>1720000</v>
      </c>
      <c r="J81" s="29">
        <f t="shared" si="5"/>
        <v>0</v>
      </c>
      <c r="K81" s="42">
        <f t="shared" si="6"/>
        <v>38616.417678034501</v>
      </c>
      <c r="L81" s="33">
        <f t="shared" si="3"/>
        <v>0</v>
      </c>
      <c r="M81" s="196">
        <f t="shared" si="25"/>
        <v>19508.429141878911</v>
      </c>
      <c r="N81" s="29">
        <f t="shared" ref="N81" si="78">I80*O$4*(A81-A80+1)/360</f>
        <v>22586.666666666668</v>
      </c>
      <c r="O81" s="30">
        <f t="shared" si="2"/>
        <v>-3078.2375247877571</v>
      </c>
      <c r="P81" s="43"/>
      <c r="Q81" s="44"/>
      <c r="R81" s="33"/>
      <c r="V81" s="45"/>
      <c r="W81" s="7"/>
      <c r="X81" s="7"/>
      <c r="Y81" s="46"/>
      <c r="Z81" s="7"/>
      <c r="AA81" s="7"/>
      <c r="AC81" s="7"/>
    </row>
    <row r="82" spans="1:29">
      <c r="A82" s="18">
        <v>44530</v>
      </c>
      <c r="B82" s="37">
        <f t="shared" si="0"/>
        <v>0</v>
      </c>
      <c r="C82" s="29"/>
      <c r="D82" s="29">
        <v>0</v>
      </c>
      <c r="E82" s="38"/>
      <c r="F82" s="39"/>
      <c r="G82" s="47"/>
      <c r="H82" s="24">
        <f t="shared" si="1"/>
        <v>1769550.5968264272</v>
      </c>
      <c r="I82" s="41">
        <f t="shared" si="4"/>
        <v>1720000</v>
      </c>
      <c r="J82" s="29">
        <f t="shared" si="5"/>
        <v>9460</v>
      </c>
      <c r="K82" s="42">
        <f t="shared" si="6"/>
        <v>40090.596826427107</v>
      </c>
      <c r="L82" s="33">
        <f t="shared" si="3"/>
        <v>0</v>
      </c>
      <c r="M82" s="196">
        <f t="shared" si="27"/>
        <v>10934.179148392604</v>
      </c>
      <c r="N82" s="29">
        <f t="shared" si="31"/>
        <v>9460</v>
      </c>
      <c r="O82" s="30">
        <f t="shared" si="2"/>
        <v>1474.1791483926045</v>
      </c>
      <c r="P82" s="43"/>
      <c r="Q82" s="44"/>
      <c r="R82" s="33"/>
      <c r="V82" s="45"/>
      <c r="W82" s="7"/>
      <c r="X82" s="7"/>
      <c r="Y82" s="46"/>
      <c r="Z82" s="7">
        <f t="shared" si="29"/>
        <v>30442.608290271513</v>
      </c>
      <c r="AA82" s="7"/>
      <c r="AC82" s="7"/>
    </row>
    <row r="83" spans="1:29">
      <c r="A83" s="18">
        <v>44550</v>
      </c>
      <c r="B83" s="37">
        <f t="shared" si="0"/>
        <v>-71533.333333333328</v>
      </c>
      <c r="C83" s="29">
        <v>-40000</v>
      </c>
      <c r="D83" s="29">
        <f t="shared" ref="D83" si="79">-I81*O$4*(A83-A81)/360</f>
        <v>-31533.333333333332</v>
      </c>
      <c r="E83" s="38"/>
      <c r="F83" s="39"/>
      <c r="G83" s="47"/>
      <c r="H83" s="24">
        <f t="shared" si="1"/>
        <v>1717063.9397693558</v>
      </c>
      <c r="I83" s="41">
        <f t="shared" si="4"/>
        <v>1680000</v>
      </c>
      <c r="J83" s="29">
        <f t="shared" si="5"/>
        <v>0</v>
      </c>
      <c r="K83" s="42">
        <f t="shared" si="6"/>
        <v>37063.9397693559</v>
      </c>
      <c r="L83" s="33">
        <f t="shared" si="3"/>
        <v>0</v>
      </c>
      <c r="M83" s="196">
        <f t="shared" si="25"/>
        <v>19046.676276262129</v>
      </c>
      <c r="N83" s="29">
        <f t="shared" ref="N83" si="80">I82*O$4*(A83-A82+1)/360</f>
        <v>22073.333333333332</v>
      </c>
      <c r="O83" s="30">
        <f t="shared" si="2"/>
        <v>-3026.6570570712029</v>
      </c>
      <c r="P83" s="43"/>
      <c r="Q83" s="44"/>
      <c r="R83" s="33"/>
      <c r="V83" s="45"/>
      <c r="W83" s="7"/>
      <c r="X83" s="7"/>
      <c r="Y83" s="46"/>
      <c r="Z83" s="7"/>
      <c r="AA83" s="7"/>
      <c r="AC83" s="7"/>
    </row>
    <row r="84" spans="1:29">
      <c r="A84" s="18">
        <v>44561</v>
      </c>
      <c r="B84" s="37">
        <f t="shared" si="0"/>
        <v>0</v>
      </c>
      <c r="C84" s="29"/>
      <c r="D84" s="29">
        <v>0</v>
      </c>
      <c r="E84" s="38"/>
      <c r="F84" s="39"/>
      <c r="G84" s="47"/>
      <c r="H84" s="24">
        <f t="shared" si="1"/>
        <v>1728713.5817845352</v>
      </c>
      <c r="I84" s="41">
        <f t="shared" si="4"/>
        <v>1680000</v>
      </c>
      <c r="J84" s="29">
        <f t="shared" si="5"/>
        <v>10266.666666666666</v>
      </c>
      <c r="K84" s="42">
        <f t="shared" si="6"/>
        <v>38446.915117868542</v>
      </c>
      <c r="L84" s="33">
        <f t="shared" si="3"/>
        <v>0</v>
      </c>
      <c r="M84" s="196">
        <f t="shared" si="27"/>
        <v>11649.64201517931</v>
      </c>
      <c r="N84" s="29">
        <f t="shared" si="31"/>
        <v>10266.666666666666</v>
      </c>
      <c r="O84" s="30">
        <f t="shared" si="2"/>
        <v>1382.9753485126439</v>
      </c>
      <c r="P84" s="43"/>
      <c r="Q84" s="44"/>
      <c r="R84" s="33"/>
      <c r="V84" s="45"/>
      <c r="W84" s="7"/>
      <c r="X84" s="7"/>
      <c r="Y84" s="46"/>
      <c r="Z84" s="7">
        <f t="shared" si="29"/>
        <v>30696.318291441439</v>
      </c>
      <c r="AA84" s="7"/>
      <c r="AC84" s="7"/>
    </row>
    <row r="85" spans="1:29">
      <c r="A85" s="18">
        <v>44581</v>
      </c>
      <c r="B85" s="37">
        <f t="shared" si="0"/>
        <v>-71826.666666666672</v>
      </c>
      <c r="C85" s="29">
        <v>-40000</v>
      </c>
      <c r="D85" s="29">
        <f t="shared" ref="D85" si="81">-I83*O$4*(A85-A83)/360</f>
        <v>-31826.666666666668</v>
      </c>
      <c r="E85" s="38"/>
      <c r="F85" s="39"/>
      <c r="G85" s="47"/>
      <c r="H85" s="24">
        <f t="shared" si="1"/>
        <v>1675494.0394497067</v>
      </c>
      <c r="I85" s="41">
        <f t="shared" si="4"/>
        <v>1640000</v>
      </c>
      <c r="J85" s="29">
        <f t="shared" si="5"/>
        <v>0</v>
      </c>
      <c r="K85" s="42">
        <f t="shared" si="6"/>
        <v>35494.039449706645</v>
      </c>
      <c r="L85" s="33">
        <f t="shared" si="3"/>
        <v>0</v>
      </c>
      <c r="M85" s="196">
        <f t="shared" si="25"/>
        <v>18607.124331838098</v>
      </c>
      <c r="N85" s="29">
        <f t="shared" ref="N85" si="82">I84*O$4*(A85-A84+1)/360</f>
        <v>21560</v>
      </c>
      <c r="O85" s="30">
        <f t="shared" ref="O85:O166" si="83">M85-N85</f>
        <v>-2952.8756681619016</v>
      </c>
      <c r="P85" s="43"/>
      <c r="Q85" s="44"/>
      <c r="R85" s="33"/>
      <c r="V85" s="45"/>
      <c r="W85" s="7"/>
      <c r="X85" s="7"/>
      <c r="Y85" s="46"/>
      <c r="Z85" s="7"/>
      <c r="AA85" s="7"/>
      <c r="AC85" s="7"/>
    </row>
    <row r="86" spans="1:29">
      <c r="A86" s="18">
        <v>44592</v>
      </c>
      <c r="B86" s="37">
        <f t="shared" si="0"/>
        <v>0</v>
      </c>
      <c r="C86" s="29"/>
      <c r="D86" s="29">
        <v>0</v>
      </c>
      <c r="E86" s="38"/>
      <c r="F86" s="39"/>
      <c r="G86" s="47"/>
      <c r="H86" s="24">
        <f t="shared" si="1"/>
        <v>1686861.6451084556</v>
      </c>
      <c r="I86" s="41">
        <f t="shared" si="4"/>
        <v>1640000</v>
      </c>
      <c r="J86" s="29">
        <f t="shared" si="5"/>
        <v>10022.222222222223</v>
      </c>
      <c r="K86" s="42">
        <f t="shared" si="6"/>
        <v>36839.422886233318</v>
      </c>
      <c r="L86" s="33">
        <f t="shared" si="3"/>
        <v>0</v>
      </c>
      <c r="M86" s="196">
        <f t="shared" si="27"/>
        <v>11367.605658748895</v>
      </c>
      <c r="N86" s="29">
        <f t="shared" si="31"/>
        <v>10022.222222222223</v>
      </c>
      <c r="O86" s="30">
        <f t="shared" si="83"/>
        <v>1345.3834365266721</v>
      </c>
      <c r="P86" s="43"/>
      <c r="Q86" s="44"/>
      <c r="R86" s="33"/>
      <c r="V86" s="45"/>
      <c r="W86" s="7"/>
      <c r="X86" s="7"/>
      <c r="Y86" s="46"/>
      <c r="Z86" s="7">
        <f t="shared" si="29"/>
        <v>29974.729990586995</v>
      </c>
      <c r="AA86" s="7"/>
      <c r="AC86" s="7"/>
    </row>
    <row r="87" spans="1:29">
      <c r="A87" s="18">
        <v>44612</v>
      </c>
      <c r="B87" s="37">
        <f t="shared" si="0"/>
        <v>-71068.888888888891</v>
      </c>
      <c r="C87" s="29">
        <v>-40000</v>
      </c>
      <c r="D87" s="29">
        <f t="shared" ref="D87" si="84">-I85*O$4*(A87-A85)/360</f>
        <v>-31068.888888888891</v>
      </c>
      <c r="E87" s="38"/>
      <c r="F87" s="39"/>
      <c r="G87" s="47"/>
      <c r="H87" s="24">
        <f t="shared" si="1"/>
        <v>1633949.4044300474</v>
      </c>
      <c r="I87" s="41">
        <f t="shared" ref="I87:I150" si="85">I86+C87</f>
        <v>1600000</v>
      </c>
      <c r="J87" s="29">
        <f t="shared" ref="J87:J150" si="86">J86+N87+D87</f>
        <v>0</v>
      </c>
      <c r="K87" s="42">
        <f t="shared" ref="K87:K150" si="87">K86+O87</f>
        <v>33949.40443004742</v>
      </c>
      <c r="L87" s="33">
        <f t="shared" si="3"/>
        <v>0</v>
      </c>
      <c r="M87" s="196">
        <f t="shared" si="25"/>
        <v>18156.648210480773</v>
      </c>
      <c r="N87" s="29">
        <f t="shared" ref="N87" si="88">I86*O$4*(A87-A86+1)/360</f>
        <v>21046.666666666668</v>
      </c>
      <c r="O87" s="30">
        <f t="shared" si="83"/>
        <v>-2890.018456185895</v>
      </c>
      <c r="P87" s="43"/>
      <c r="Q87" s="44"/>
      <c r="R87" s="33"/>
      <c r="V87" s="45"/>
      <c r="W87" s="7"/>
      <c r="X87" s="7"/>
      <c r="Y87" s="46"/>
      <c r="Z87" s="7"/>
      <c r="AA87" s="7"/>
      <c r="AC87" s="7"/>
    </row>
    <row r="88" spans="1:29">
      <c r="A88" s="18">
        <v>44620</v>
      </c>
      <c r="B88" s="37">
        <f t="shared" si="0"/>
        <v>0</v>
      </c>
      <c r="C88" s="29"/>
      <c r="D88" s="29">
        <v>0</v>
      </c>
      <c r="E88" s="38"/>
      <c r="F88" s="39"/>
      <c r="G88" s="47"/>
      <c r="H88" s="24">
        <f t="shared" si="1"/>
        <v>1642256.6786410748</v>
      </c>
      <c r="I88" s="41">
        <f t="shared" si="85"/>
        <v>1600000</v>
      </c>
      <c r="J88" s="29">
        <f t="shared" si="86"/>
        <v>6844.4444444444443</v>
      </c>
      <c r="K88" s="42">
        <f t="shared" si="87"/>
        <v>35412.23419663019</v>
      </c>
      <c r="L88" s="33">
        <f t="shared" si="3"/>
        <v>0</v>
      </c>
      <c r="M88" s="196">
        <f t="shared" si="27"/>
        <v>8307.2742110272156</v>
      </c>
      <c r="N88" s="29">
        <f t="shared" si="31"/>
        <v>6844.4444444444443</v>
      </c>
      <c r="O88" s="30">
        <f t="shared" si="83"/>
        <v>1462.8297665827713</v>
      </c>
      <c r="P88" s="43"/>
      <c r="Q88" s="44"/>
      <c r="R88" s="33"/>
      <c r="V88" s="45"/>
      <c r="W88" s="7"/>
      <c r="X88" s="7"/>
      <c r="Y88" s="46"/>
      <c r="Z88" s="7">
        <f t="shared" si="29"/>
        <v>26463.922421507988</v>
      </c>
      <c r="AA88" s="7"/>
      <c r="AC88" s="7"/>
    </row>
    <row r="89" spans="1:29">
      <c r="A89" s="18">
        <v>44640</v>
      </c>
      <c r="B89" s="37">
        <f t="shared" si="0"/>
        <v>-67377.777777777781</v>
      </c>
      <c r="C89" s="29">
        <v>-40000</v>
      </c>
      <c r="D89" s="29">
        <f t="shared" ref="D89" si="89">-I87*O$4*(A89-A87)/360</f>
        <v>-27377.777777777777</v>
      </c>
      <c r="E89" s="38"/>
      <c r="F89" s="39"/>
      <c r="G89" s="47"/>
      <c r="H89" s="24">
        <f t="shared" si="1"/>
        <v>1592555.4405320149</v>
      </c>
      <c r="I89" s="41">
        <f t="shared" si="85"/>
        <v>1560000</v>
      </c>
      <c r="J89" s="29">
        <f t="shared" si="86"/>
        <v>0</v>
      </c>
      <c r="K89" s="42">
        <f t="shared" si="87"/>
        <v>32555.440532014887</v>
      </c>
      <c r="L89" s="33">
        <f t="shared" si="3"/>
        <v>0</v>
      </c>
      <c r="M89" s="196">
        <f t="shared" si="25"/>
        <v>17676.539668718029</v>
      </c>
      <c r="N89" s="29">
        <f t="shared" ref="N89" si="90">I88*O$4*(A89-A88+1)/360</f>
        <v>20533.333333333332</v>
      </c>
      <c r="O89" s="30">
        <f t="shared" si="83"/>
        <v>-2856.793664615303</v>
      </c>
      <c r="P89" s="43"/>
      <c r="Q89" s="44"/>
      <c r="R89" s="33"/>
      <c r="V89" s="45"/>
      <c r="W89" s="7"/>
      <c r="X89" s="7"/>
      <c r="Y89" s="46"/>
      <c r="Z89" s="7"/>
      <c r="AA89" s="7"/>
      <c r="AC89" s="7"/>
    </row>
    <row r="90" spans="1:29">
      <c r="A90" s="18">
        <v>44651</v>
      </c>
      <c r="B90" s="37">
        <f t="shared" si="0"/>
        <v>0</v>
      </c>
      <c r="C90" s="29"/>
      <c r="D90" s="29">
        <v>0</v>
      </c>
      <c r="E90" s="38"/>
      <c r="F90" s="39"/>
      <c r="G90" s="47"/>
      <c r="H90" s="24">
        <f t="shared" si="1"/>
        <v>1603360.3385569633</v>
      </c>
      <c r="I90" s="41">
        <f t="shared" si="85"/>
        <v>1560000</v>
      </c>
      <c r="J90" s="29">
        <f t="shared" si="86"/>
        <v>9533.3333333333339</v>
      </c>
      <c r="K90" s="42">
        <f t="shared" si="87"/>
        <v>33827.005223630025</v>
      </c>
      <c r="L90" s="33">
        <f t="shared" si="3"/>
        <v>0</v>
      </c>
      <c r="M90" s="196">
        <f t="shared" si="27"/>
        <v>10804.898024948472</v>
      </c>
      <c r="N90" s="29">
        <f t="shared" si="31"/>
        <v>9533.3333333333339</v>
      </c>
      <c r="O90" s="30">
        <f t="shared" si="83"/>
        <v>1271.5646916151381</v>
      </c>
      <c r="P90" s="43"/>
      <c r="Q90" s="44"/>
      <c r="R90" s="33"/>
      <c r="V90" s="45"/>
      <c r="W90" s="7"/>
      <c r="X90" s="7"/>
      <c r="Y90" s="46"/>
      <c r="Z90" s="7">
        <f t="shared" si="29"/>
        <v>28481.437693666499</v>
      </c>
      <c r="AA90" s="7"/>
      <c r="AC90" s="7"/>
    </row>
    <row r="91" spans="1:29">
      <c r="A91" s="18">
        <v>44671</v>
      </c>
      <c r="B91" s="37">
        <f t="shared" si="0"/>
        <v>-69553.333333333328</v>
      </c>
      <c r="C91" s="29">
        <v>-40000</v>
      </c>
      <c r="D91" s="29">
        <f t="shared" ref="D91" si="91">-I89*O$4*(A91-A89)/360</f>
        <v>-29553.333333333332</v>
      </c>
      <c r="E91" s="38"/>
      <c r="F91" s="39"/>
      <c r="G91" s="47"/>
      <c r="H91" s="24">
        <f t="shared" si="1"/>
        <v>1551064.8815327119</v>
      </c>
      <c r="I91" s="41">
        <f t="shared" si="85"/>
        <v>1520000</v>
      </c>
      <c r="J91" s="29">
        <f t="shared" si="86"/>
        <v>0</v>
      </c>
      <c r="K91" s="42">
        <f t="shared" si="87"/>
        <v>31064.881532711923</v>
      </c>
      <c r="L91" s="33">
        <f t="shared" si="3"/>
        <v>0</v>
      </c>
      <c r="M91" s="196">
        <f t="shared" si="25"/>
        <v>17257.876309081897</v>
      </c>
      <c r="N91" s="29">
        <f t="shared" ref="N91" si="92">I90*O$4*(A91-A90+1)/360</f>
        <v>20020</v>
      </c>
      <c r="O91" s="30">
        <f t="shared" si="83"/>
        <v>-2762.1236909181025</v>
      </c>
      <c r="P91" s="43"/>
      <c r="Q91" s="44"/>
      <c r="R91" s="33"/>
      <c r="V91" s="45"/>
      <c r="W91" s="7"/>
      <c r="X91" s="7"/>
      <c r="Y91" s="46"/>
      <c r="Z91" s="7"/>
      <c r="AA91" s="7"/>
      <c r="AC91" s="7"/>
    </row>
    <row r="92" spans="1:29">
      <c r="A92" s="18">
        <v>44681</v>
      </c>
      <c r="B92" s="37">
        <f t="shared" si="0"/>
        <v>0</v>
      </c>
      <c r="C92" s="29"/>
      <c r="D92" s="29">
        <v>0</v>
      </c>
      <c r="E92" s="38"/>
      <c r="F92" s="39"/>
      <c r="G92" s="47"/>
      <c r="H92" s="24">
        <f t="shared" si="1"/>
        <v>1560708.611180051</v>
      </c>
      <c r="I92" s="41">
        <f t="shared" si="85"/>
        <v>1520000</v>
      </c>
      <c r="J92" s="29">
        <f t="shared" si="86"/>
        <v>8360</v>
      </c>
      <c r="K92" s="42">
        <f t="shared" si="87"/>
        <v>32348.61118005107</v>
      </c>
      <c r="L92" s="33">
        <f t="shared" si="3"/>
        <v>0</v>
      </c>
      <c r="M92" s="196">
        <f t="shared" si="27"/>
        <v>9643.729647339147</v>
      </c>
      <c r="N92" s="29">
        <f t="shared" si="31"/>
        <v>8360</v>
      </c>
      <c r="O92" s="30">
        <f t="shared" si="83"/>
        <v>1283.729647339147</v>
      </c>
      <c r="P92" s="43"/>
      <c r="Q92" s="44"/>
      <c r="R92" s="33"/>
      <c r="V92" s="45"/>
      <c r="W92" s="7"/>
      <c r="X92" s="7"/>
      <c r="Y92" s="46"/>
      <c r="Z92" s="7">
        <f t="shared" si="29"/>
        <v>26901.605956421045</v>
      </c>
      <c r="AA92" s="7"/>
      <c r="AC92" s="7"/>
    </row>
    <row r="93" spans="1:29">
      <c r="A93" s="18">
        <v>44701</v>
      </c>
      <c r="B93" s="37">
        <f t="shared" si="0"/>
        <v>-67866.666666666672</v>
      </c>
      <c r="C93" s="29">
        <v>-40000</v>
      </c>
      <c r="D93" s="29">
        <f t="shared" ref="D93" si="93">-I91*O$4*(A93-A91)/360</f>
        <v>-27866.666666666668</v>
      </c>
      <c r="E93" s="38"/>
      <c r="F93" s="39"/>
      <c r="G93" s="47"/>
      <c r="H93" s="24">
        <f t="shared" si="1"/>
        <v>1509640.7361003745</v>
      </c>
      <c r="I93" s="41">
        <f t="shared" si="85"/>
        <v>1480000</v>
      </c>
      <c r="J93" s="29">
        <f t="shared" si="86"/>
        <v>0</v>
      </c>
      <c r="K93" s="42">
        <f t="shared" si="87"/>
        <v>29640.736100374503</v>
      </c>
      <c r="L93" s="33">
        <f t="shared" si="3"/>
        <v>0</v>
      </c>
      <c r="M93" s="196">
        <f t="shared" ref="M93:M155" si="94">H92*((100%+$O$8)^(A93-A92-1)-100%)</f>
        <v>16798.791586990101</v>
      </c>
      <c r="N93" s="29">
        <f t="shared" ref="N93" si="95">I92*O$4*(A93-A92+1)/360</f>
        <v>19506.666666666668</v>
      </c>
      <c r="O93" s="30">
        <f t="shared" si="83"/>
        <v>-2707.8750796765671</v>
      </c>
      <c r="P93" s="43"/>
      <c r="Q93" s="44"/>
      <c r="R93" s="33"/>
      <c r="V93" s="45"/>
      <c r="W93" s="7"/>
      <c r="X93" s="7"/>
      <c r="Y93" s="46"/>
      <c r="Z93" s="7"/>
      <c r="AA93" s="7"/>
      <c r="AC93" s="7"/>
    </row>
    <row r="94" spans="1:29">
      <c r="A94" s="18">
        <v>44712</v>
      </c>
      <c r="B94" s="37">
        <f t="shared" si="0"/>
        <v>0</v>
      </c>
      <c r="C94" s="29"/>
      <c r="D94" s="29">
        <v>0</v>
      </c>
      <c r="E94" s="38"/>
      <c r="F94" s="39"/>
      <c r="G94" s="47"/>
      <c r="H94" s="24">
        <f t="shared" si="1"/>
        <v>1519883.0886067485</v>
      </c>
      <c r="I94" s="41">
        <f t="shared" si="85"/>
        <v>1480000</v>
      </c>
      <c r="J94" s="29">
        <f t="shared" si="86"/>
        <v>9044.4444444444453</v>
      </c>
      <c r="K94" s="42">
        <f t="shared" si="87"/>
        <v>30838.644162304096</v>
      </c>
      <c r="L94" s="33">
        <f t="shared" si="3"/>
        <v>0</v>
      </c>
      <c r="M94" s="196">
        <f t="shared" ref="M94:M156" si="96">H93*((100%+$O$8)^(A94-A93+1)-100%)</f>
        <v>10242.352506374038</v>
      </c>
      <c r="N94" s="29">
        <f t="shared" si="31"/>
        <v>9044.4444444444453</v>
      </c>
      <c r="O94" s="30">
        <f t="shared" si="83"/>
        <v>1197.9080619295928</v>
      </c>
      <c r="P94" s="43"/>
      <c r="Q94" s="44"/>
      <c r="R94" s="33"/>
      <c r="V94" s="45"/>
      <c r="W94" s="7"/>
      <c r="X94" s="7"/>
      <c r="Y94" s="46"/>
      <c r="Z94" s="7">
        <f t="shared" ref="Z94:Z156" si="97">M94+M93</f>
        <v>27041.144093364139</v>
      </c>
      <c r="AA94" s="7"/>
      <c r="AC94" s="7"/>
    </row>
    <row r="95" spans="1:29">
      <c r="A95" s="18">
        <v>44732</v>
      </c>
      <c r="B95" s="37">
        <f t="shared" si="0"/>
        <v>-68037.777777777781</v>
      </c>
      <c r="C95" s="29">
        <v>-40000</v>
      </c>
      <c r="D95" s="29">
        <f t="shared" ref="D95" si="98">-I93*O$4*(A95-A93)/360</f>
        <v>-28037.777777777777</v>
      </c>
      <c r="E95" s="38"/>
      <c r="F95" s="39"/>
      <c r="G95" s="47"/>
      <c r="H95" s="24">
        <f t="shared" si="1"/>
        <v>1468204.6741714915</v>
      </c>
      <c r="I95" s="41">
        <f t="shared" si="85"/>
        <v>1440000</v>
      </c>
      <c r="J95" s="29">
        <f t="shared" si="86"/>
        <v>0</v>
      </c>
      <c r="K95" s="42">
        <f t="shared" si="87"/>
        <v>28204.674171491628</v>
      </c>
      <c r="L95" s="33">
        <f t="shared" si="3"/>
        <v>0</v>
      </c>
      <c r="M95" s="196">
        <f t="shared" si="94"/>
        <v>16359.363342520865</v>
      </c>
      <c r="N95" s="29">
        <f t="shared" ref="N95" si="99">I94*O$4*(A95-A94+1)/360</f>
        <v>18993.333333333332</v>
      </c>
      <c r="O95" s="30">
        <f t="shared" si="83"/>
        <v>-2633.9699908124676</v>
      </c>
      <c r="P95" s="43"/>
      <c r="Q95" s="44"/>
      <c r="R95" s="33"/>
      <c r="V95" s="45"/>
      <c r="W95" s="7"/>
      <c r="X95" s="7"/>
      <c r="Y95" s="46"/>
      <c r="Z95" s="7"/>
      <c r="AA95" s="7"/>
      <c r="AC95" s="7"/>
    </row>
    <row r="96" spans="1:29">
      <c r="A96" s="18">
        <v>44742</v>
      </c>
      <c r="B96" s="37">
        <f t="shared" si="0"/>
        <v>0</v>
      </c>
      <c r="C96" s="29"/>
      <c r="D96" s="29">
        <v>0</v>
      </c>
      <c r="E96" s="38"/>
      <c r="F96" s="39"/>
      <c r="G96" s="47"/>
      <c r="H96" s="24">
        <f t="shared" si="1"/>
        <v>1477333.2213478535</v>
      </c>
      <c r="I96" s="41">
        <f t="shared" si="85"/>
        <v>1440000</v>
      </c>
      <c r="J96" s="29">
        <f t="shared" si="86"/>
        <v>7920</v>
      </c>
      <c r="K96" s="42">
        <f t="shared" si="87"/>
        <v>29413.221347853516</v>
      </c>
      <c r="L96" s="33">
        <f t="shared" si="3"/>
        <v>0</v>
      </c>
      <c r="M96" s="196">
        <f t="shared" si="96"/>
        <v>9128.547176361888</v>
      </c>
      <c r="N96" s="29">
        <f t="shared" ref="N96:N158" si="100">I95*O$4*(A96-A95-1)/360</f>
        <v>7920</v>
      </c>
      <c r="O96" s="30">
        <f t="shared" si="83"/>
        <v>1208.547176361888</v>
      </c>
      <c r="P96" s="43"/>
      <c r="Q96" s="44"/>
      <c r="R96" s="33"/>
      <c r="V96" s="45"/>
      <c r="W96" s="7"/>
      <c r="X96" s="7"/>
      <c r="Y96" s="46"/>
      <c r="Z96" s="7">
        <f t="shared" si="97"/>
        <v>25487.910518882753</v>
      </c>
      <c r="AA96" s="7"/>
      <c r="AC96" s="7"/>
    </row>
    <row r="97" spans="1:29">
      <c r="A97" s="18">
        <v>44762</v>
      </c>
      <c r="B97" s="37">
        <f t="shared" si="0"/>
        <v>-66400</v>
      </c>
      <c r="C97" s="29">
        <v>-40000</v>
      </c>
      <c r="D97" s="29">
        <f t="shared" ref="D97" si="101">-I95*O$4*(A97-A95)/360</f>
        <v>-26400</v>
      </c>
      <c r="E97" s="38"/>
      <c r="F97" s="39"/>
      <c r="G97" s="47"/>
      <c r="H97" s="24">
        <f t="shared" si="1"/>
        <v>1426834.5963464798</v>
      </c>
      <c r="I97" s="41">
        <f t="shared" si="85"/>
        <v>1400000</v>
      </c>
      <c r="J97" s="29">
        <f t="shared" si="86"/>
        <v>0</v>
      </c>
      <c r="K97" s="42">
        <f t="shared" si="87"/>
        <v>26834.596346479859</v>
      </c>
      <c r="L97" s="33">
        <f t="shared" si="3"/>
        <v>0</v>
      </c>
      <c r="M97" s="196">
        <f t="shared" si="94"/>
        <v>15901.374998626343</v>
      </c>
      <c r="N97" s="29">
        <f t="shared" ref="N97" si="102">I96*O$4*(A97-A96+1)/360</f>
        <v>18480</v>
      </c>
      <c r="O97" s="30">
        <f t="shared" si="83"/>
        <v>-2578.6250013736571</v>
      </c>
      <c r="P97" s="43"/>
      <c r="Q97" s="44"/>
      <c r="R97" s="33"/>
      <c r="V97" s="45"/>
      <c r="W97" s="7"/>
      <c r="X97" s="7"/>
      <c r="Y97" s="46"/>
      <c r="Z97" s="7"/>
      <c r="AA97" s="7"/>
      <c r="AC97" s="7"/>
    </row>
    <row r="98" spans="1:29">
      <c r="A98" s="18">
        <v>44773</v>
      </c>
      <c r="B98" s="37">
        <f t="shared" si="0"/>
        <v>0</v>
      </c>
      <c r="C98" s="29"/>
      <c r="D98" s="29">
        <v>0</v>
      </c>
      <c r="E98" s="38"/>
      <c r="F98" s="39"/>
      <c r="G98" s="47"/>
      <c r="H98" s="24">
        <f t="shared" si="1"/>
        <v>1436515.139905354</v>
      </c>
      <c r="I98" s="41">
        <f t="shared" si="85"/>
        <v>1400000</v>
      </c>
      <c r="J98" s="29">
        <f t="shared" si="86"/>
        <v>8555.5555555555547</v>
      </c>
      <c r="K98" s="42">
        <f t="shared" si="87"/>
        <v>27959.584349798482</v>
      </c>
      <c r="L98" s="33">
        <f t="shared" si="3"/>
        <v>0</v>
      </c>
      <c r="M98" s="196">
        <f t="shared" si="96"/>
        <v>9680.5435588741802</v>
      </c>
      <c r="N98" s="29">
        <f t="shared" si="100"/>
        <v>8555.5555555555547</v>
      </c>
      <c r="O98" s="30">
        <f t="shared" si="83"/>
        <v>1124.9880033186255</v>
      </c>
      <c r="P98" s="43"/>
      <c r="Q98" s="44"/>
      <c r="R98" s="33"/>
      <c r="V98" s="45"/>
      <c r="W98" s="7"/>
      <c r="X98" s="7"/>
      <c r="Y98" s="46"/>
      <c r="Z98" s="7">
        <f t="shared" si="97"/>
        <v>25581.918557500525</v>
      </c>
      <c r="AA98" s="7"/>
      <c r="AC98" s="7"/>
    </row>
    <row r="99" spans="1:29">
      <c r="A99" s="18">
        <v>44793</v>
      </c>
      <c r="B99" s="37">
        <f t="shared" si="0"/>
        <v>-66522.222222222219</v>
      </c>
      <c r="C99" s="29">
        <v>-40000</v>
      </c>
      <c r="D99" s="29">
        <f t="shared" ref="D99" si="103">-I97*O$4*(A99-A97)/360</f>
        <v>-26522.222222222223</v>
      </c>
      <c r="E99" s="38"/>
      <c r="F99" s="39"/>
      <c r="G99" s="47"/>
      <c r="H99" s="24">
        <f t="shared" si="1"/>
        <v>1385454.9445303984</v>
      </c>
      <c r="I99" s="41">
        <f t="shared" si="85"/>
        <v>1360000</v>
      </c>
      <c r="J99" s="29">
        <f t="shared" si="86"/>
        <v>0</v>
      </c>
      <c r="K99" s="42">
        <f t="shared" si="87"/>
        <v>25454.944530398316</v>
      </c>
      <c r="L99" s="33">
        <f t="shared" si="3"/>
        <v>0</v>
      </c>
      <c r="M99" s="196">
        <f t="shared" si="94"/>
        <v>15462.026847266503</v>
      </c>
      <c r="N99" s="29">
        <f t="shared" ref="N99" si="104">I98*O$4*(A99-A98+1)/360</f>
        <v>17966.666666666668</v>
      </c>
      <c r="O99" s="30">
        <f t="shared" si="83"/>
        <v>-2504.6398194001649</v>
      </c>
      <c r="P99" s="43"/>
      <c r="Q99" s="44"/>
      <c r="R99" s="33"/>
      <c r="V99" s="45"/>
      <c r="W99" s="7"/>
      <c r="X99" s="7"/>
      <c r="Y99" s="46"/>
      <c r="Z99" s="7"/>
      <c r="AA99" s="7"/>
      <c r="AC99" s="7"/>
    </row>
    <row r="100" spans="1:29">
      <c r="A100" s="18">
        <v>44804</v>
      </c>
      <c r="B100" s="37">
        <f t="shared" si="0"/>
        <v>0</v>
      </c>
      <c r="C100" s="29"/>
      <c r="D100" s="29">
        <v>0</v>
      </c>
      <c r="E100" s="38"/>
      <c r="F100" s="39"/>
      <c r="G100" s="47"/>
      <c r="H100" s="24">
        <f t="shared" si="1"/>
        <v>1394854.7424983804</v>
      </c>
      <c r="I100" s="41">
        <f t="shared" si="85"/>
        <v>1360000</v>
      </c>
      <c r="J100" s="29">
        <f t="shared" si="86"/>
        <v>8311.1111111111113</v>
      </c>
      <c r="K100" s="42">
        <f t="shared" si="87"/>
        <v>26543.631387269255</v>
      </c>
      <c r="L100" s="33">
        <f t="shared" si="3"/>
        <v>0</v>
      </c>
      <c r="M100" s="196">
        <f t="shared" si="96"/>
        <v>9399.7979679820528</v>
      </c>
      <c r="N100" s="29">
        <f t="shared" si="100"/>
        <v>8311.1111111111113</v>
      </c>
      <c r="O100" s="30">
        <f t="shared" si="83"/>
        <v>1088.6868568709415</v>
      </c>
      <c r="P100" s="43"/>
      <c r="Q100" s="44"/>
      <c r="R100" s="33"/>
      <c r="V100" s="45"/>
      <c r="W100" s="7"/>
      <c r="X100" s="7"/>
      <c r="Y100" s="46"/>
      <c r="Z100" s="7">
        <f t="shared" si="97"/>
        <v>24861.824815248554</v>
      </c>
      <c r="AA100" s="7"/>
      <c r="AC100" s="7"/>
    </row>
    <row r="101" spans="1:29">
      <c r="A101" s="18">
        <v>44824</v>
      </c>
      <c r="B101" s="37">
        <f t="shared" si="0"/>
        <v>-65764.444444444438</v>
      </c>
      <c r="C101" s="29">
        <v>-40000</v>
      </c>
      <c r="D101" s="29">
        <f t="shared" ref="D101" si="105">-I99*O$4*(A101-A99)/360</f>
        <v>-25764.444444444445</v>
      </c>
      <c r="E101" s="38"/>
      <c r="F101" s="39"/>
      <c r="G101" s="47"/>
      <c r="H101" s="24">
        <f t="shared" si="1"/>
        <v>1344103.9104255869</v>
      </c>
      <c r="I101" s="41">
        <f t="shared" si="85"/>
        <v>1320000</v>
      </c>
      <c r="J101" s="29">
        <f t="shared" si="86"/>
        <v>0</v>
      </c>
      <c r="K101" s="42">
        <f t="shared" si="87"/>
        <v>24103.910425586902</v>
      </c>
      <c r="L101" s="33">
        <f t="shared" si="3"/>
        <v>0</v>
      </c>
      <c r="M101" s="196">
        <f t="shared" si="94"/>
        <v>15013.612371650981</v>
      </c>
      <c r="N101" s="29">
        <f t="shared" ref="N101" si="106">I100*O$4*(A101-A100+1)/360</f>
        <v>17453.333333333332</v>
      </c>
      <c r="O101" s="30">
        <f t="shared" si="83"/>
        <v>-2439.7209616823511</v>
      </c>
      <c r="P101" s="43"/>
      <c r="Q101" s="44"/>
      <c r="R101" s="33"/>
      <c r="V101" s="45"/>
      <c r="W101" s="7"/>
      <c r="X101" s="7"/>
      <c r="Y101" s="46"/>
      <c r="Z101" s="7"/>
      <c r="AA101" s="7"/>
      <c r="AC101" s="7"/>
    </row>
    <row r="102" spans="1:29">
      <c r="A102" s="18">
        <v>44834</v>
      </c>
      <c r="B102" s="37">
        <f t="shared" si="0"/>
        <v>0</v>
      </c>
      <c r="C102" s="29"/>
      <c r="D102" s="29">
        <v>0</v>
      </c>
      <c r="E102" s="38"/>
      <c r="F102" s="39"/>
      <c r="G102" s="47"/>
      <c r="H102" s="24">
        <f t="shared" si="1"/>
        <v>1352460.8624038091</v>
      </c>
      <c r="I102" s="41">
        <f t="shared" si="85"/>
        <v>1320000</v>
      </c>
      <c r="J102" s="29">
        <f t="shared" si="86"/>
        <v>7260</v>
      </c>
      <c r="K102" s="42">
        <f t="shared" si="87"/>
        <v>25200.86240380906</v>
      </c>
      <c r="L102" s="33">
        <f t="shared" si="3"/>
        <v>0</v>
      </c>
      <c r="M102" s="196">
        <f t="shared" si="96"/>
        <v>8356.9519782221578</v>
      </c>
      <c r="N102" s="29">
        <f t="shared" si="100"/>
        <v>7260</v>
      </c>
      <c r="O102" s="30">
        <f t="shared" si="83"/>
        <v>1096.9519782221578</v>
      </c>
      <c r="P102" s="43"/>
      <c r="Q102" s="44"/>
      <c r="R102" s="33"/>
      <c r="V102" s="45"/>
      <c r="W102" s="7"/>
      <c r="X102" s="7"/>
      <c r="Y102" s="46"/>
      <c r="Z102" s="7">
        <f t="shared" si="97"/>
        <v>23370.564349873137</v>
      </c>
      <c r="AA102" s="7"/>
      <c r="AC102" s="7"/>
    </row>
    <row r="103" spans="1:29">
      <c r="A103" s="18">
        <v>44854</v>
      </c>
      <c r="B103" s="37">
        <f t="shared" si="0"/>
        <v>-64200</v>
      </c>
      <c r="C103" s="29">
        <v>-40000</v>
      </c>
      <c r="D103" s="29">
        <f t="shared" ref="D103" si="107">-I101*O$4*(A103-A101)/360</f>
        <v>-24200</v>
      </c>
      <c r="E103" s="38"/>
      <c r="F103" s="39"/>
      <c r="G103" s="47"/>
      <c r="H103" s="24">
        <f t="shared" si="1"/>
        <v>1302818.1654098481</v>
      </c>
      <c r="I103" s="41">
        <f t="shared" si="85"/>
        <v>1280000</v>
      </c>
      <c r="J103" s="29">
        <f t="shared" si="86"/>
        <v>0</v>
      </c>
      <c r="K103" s="42">
        <f t="shared" si="87"/>
        <v>22818.165409848174</v>
      </c>
      <c r="L103" s="33">
        <f t="shared" si="3"/>
        <v>0</v>
      </c>
      <c r="M103" s="196">
        <f t="shared" si="94"/>
        <v>14557.303006039112</v>
      </c>
      <c r="N103" s="29">
        <f t="shared" ref="N103" si="108">I102*O$4*(A103-A102+1)/360</f>
        <v>16940</v>
      </c>
      <c r="O103" s="30">
        <f t="shared" si="83"/>
        <v>-2382.696993960888</v>
      </c>
      <c r="P103" s="43"/>
      <c r="Q103" s="44"/>
      <c r="R103" s="33"/>
      <c r="V103" s="45"/>
      <c r="W103" s="7"/>
      <c r="X103" s="7"/>
      <c r="Y103" s="46"/>
      <c r="Z103" s="7"/>
      <c r="AA103" s="7"/>
      <c r="AC103" s="7"/>
    </row>
    <row r="104" spans="1:29">
      <c r="A104" s="18">
        <v>44865</v>
      </c>
      <c r="B104" s="37">
        <f t="shared" si="0"/>
        <v>0</v>
      </c>
      <c r="C104" s="29"/>
      <c r="D104" s="29">
        <v>0</v>
      </c>
      <c r="E104" s="38"/>
      <c r="F104" s="39"/>
      <c r="G104" s="47"/>
      <c r="H104" s="24">
        <f t="shared" si="1"/>
        <v>1311657.3034794161</v>
      </c>
      <c r="I104" s="41">
        <f t="shared" si="85"/>
        <v>1280000</v>
      </c>
      <c r="J104" s="29">
        <f t="shared" si="86"/>
        <v>7822.2222222222226</v>
      </c>
      <c r="K104" s="42">
        <f t="shared" si="87"/>
        <v>23835.081257193757</v>
      </c>
      <c r="L104" s="33">
        <f t="shared" si="3"/>
        <v>0</v>
      </c>
      <c r="M104" s="196">
        <f t="shared" si="96"/>
        <v>8839.1380695678054</v>
      </c>
      <c r="N104" s="29">
        <f t="shared" si="100"/>
        <v>7822.2222222222226</v>
      </c>
      <c r="O104" s="30">
        <f t="shared" si="83"/>
        <v>1016.9158473455827</v>
      </c>
      <c r="P104" s="43"/>
      <c r="Q104" s="44"/>
      <c r="R104" s="33"/>
      <c r="V104" s="45"/>
      <c r="W104" s="7"/>
      <c r="X104" s="7"/>
      <c r="Y104" s="46"/>
      <c r="Z104" s="7">
        <f t="shared" si="97"/>
        <v>23396.441075606919</v>
      </c>
      <c r="AA104" s="7"/>
      <c r="AC104" s="7"/>
    </row>
    <row r="105" spans="1:29">
      <c r="A105" s="18">
        <v>44885</v>
      </c>
      <c r="B105" s="37">
        <f t="shared" si="0"/>
        <v>-64248.888888888891</v>
      </c>
      <c r="C105" s="29">
        <v>-40000</v>
      </c>
      <c r="D105" s="29">
        <f t="shared" ref="D105" si="109">-I103*O$4*(A105-A103)/360</f>
        <v>-24248.888888888891</v>
      </c>
      <c r="E105" s="38"/>
      <c r="F105" s="39"/>
      <c r="G105" s="47"/>
      <c r="H105" s="24">
        <f t="shared" si="1"/>
        <v>1261526.5257593018</v>
      </c>
      <c r="I105" s="41">
        <f t="shared" si="85"/>
        <v>1240000</v>
      </c>
      <c r="J105" s="29">
        <f t="shared" si="86"/>
        <v>0</v>
      </c>
      <c r="K105" s="42">
        <f t="shared" si="87"/>
        <v>21526.52575930192</v>
      </c>
      <c r="L105" s="33">
        <f t="shared" si="3"/>
        <v>0</v>
      </c>
      <c r="M105" s="196">
        <f t="shared" si="94"/>
        <v>14118.111168774833</v>
      </c>
      <c r="N105" s="29">
        <f t="shared" ref="N105" si="110">I104*O$4*(A105-A104+1)/360</f>
        <v>16426.666666666668</v>
      </c>
      <c r="O105" s="30">
        <f t="shared" si="83"/>
        <v>-2308.5554978918353</v>
      </c>
      <c r="P105" s="43"/>
      <c r="Q105" s="44"/>
      <c r="R105" s="33"/>
      <c r="V105" s="45"/>
      <c r="W105" s="7"/>
      <c r="X105" s="7"/>
      <c r="Y105" s="46"/>
      <c r="Z105" s="7"/>
      <c r="AA105" s="7"/>
      <c r="AC105" s="7"/>
    </row>
    <row r="106" spans="1:29">
      <c r="A106" s="18">
        <v>44895</v>
      </c>
      <c r="B106" s="37">
        <f t="shared" si="0"/>
        <v>0</v>
      </c>
      <c r="C106" s="29"/>
      <c r="D106" s="29">
        <v>0</v>
      </c>
      <c r="E106" s="38"/>
      <c r="F106" s="39"/>
      <c r="G106" s="47"/>
      <c r="H106" s="24">
        <f t="shared" si="1"/>
        <v>1269370.0537136889</v>
      </c>
      <c r="I106" s="41">
        <f t="shared" si="85"/>
        <v>1240000</v>
      </c>
      <c r="J106" s="29">
        <f t="shared" si="86"/>
        <v>6820</v>
      </c>
      <c r="K106" s="42">
        <f t="shared" si="87"/>
        <v>22550.053713688882</v>
      </c>
      <c r="L106" s="33">
        <f t="shared" si="3"/>
        <v>0</v>
      </c>
      <c r="M106" s="196">
        <f t="shared" si="96"/>
        <v>7843.5279543869638</v>
      </c>
      <c r="N106" s="29">
        <f t="shared" si="100"/>
        <v>6820</v>
      </c>
      <c r="O106" s="30">
        <f t="shared" si="83"/>
        <v>1023.5279543869638</v>
      </c>
      <c r="P106" s="43"/>
      <c r="Q106" s="44"/>
      <c r="R106" s="33"/>
      <c r="V106" s="45"/>
      <c r="W106" s="7"/>
      <c r="X106" s="7"/>
      <c r="Y106" s="46"/>
      <c r="Z106" s="7">
        <f t="shared" si="97"/>
        <v>21961.639123161796</v>
      </c>
      <c r="AA106" s="7"/>
      <c r="AC106" s="7"/>
    </row>
    <row r="107" spans="1:29">
      <c r="A107" s="18">
        <v>44915</v>
      </c>
      <c r="B107" s="37">
        <f t="shared" si="0"/>
        <v>-62733.333333333328</v>
      </c>
      <c r="C107" s="29">
        <v>-40000</v>
      </c>
      <c r="D107" s="29">
        <f t="shared" ref="D107" si="111">-I105*O$4*(A107-A105)/360</f>
        <v>-22733.333333333332</v>
      </c>
      <c r="E107" s="38"/>
      <c r="F107" s="39"/>
      <c r="G107" s="47"/>
      <c r="H107" s="24">
        <f t="shared" si="1"/>
        <v>1220299.6699061992</v>
      </c>
      <c r="I107" s="41">
        <f t="shared" si="85"/>
        <v>1200000</v>
      </c>
      <c r="J107" s="29">
        <f t="shared" si="86"/>
        <v>0</v>
      </c>
      <c r="K107" s="42">
        <f t="shared" si="87"/>
        <v>20299.669906199269</v>
      </c>
      <c r="L107" s="33">
        <f t="shared" si="3"/>
        <v>0</v>
      </c>
      <c r="M107" s="196">
        <f t="shared" si="94"/>
        <v>13662.94952584372</v>
      </c>
      <c r="N107" s="29">
        <f t="shared" ref="N107" si="112">I106*O$4*(A107-A106+1)/360</f>
        <v>15913.333333333334</v>
      </c>
      <c r="O107" s="30">
        <f t="shared" si="83"/>
        <v>-2250.3838074896139</v>
      </c>
      <c r="P107" s="43"/>
      <c r="Q107" s="44"/>
      <c r="R107" s="33"/>
      <c r="V107" s="45"/>
      <c r="W107" s="7"/>
      <c r="X107" s="7"/>
      <c r="Y107" s="46"/>
      <c r="Z107" s="7"/>
      <c r="AA107" s="7"/>
      <c r="AC107" s="7"/>
    </row>
    <row r="108" spans="1:29">
      <c r="A108" s="18">
        <v>44926</v>
      </c>
      <c r="B108" s="37">
        <f t="shared" si="0"/>
        <v>0</v>
      </c>
      <c r="C108" s="29"/>
      <c r="D108" s="29">
        <v>0</v>
      </c>
      <c r="E108" s="38"/>
      <c r="F108" s="39"/>
      <c r="G108" s="47"/>
      <c r="H108" s="24">
        <f t="shared" si="1"/>
        <v>1228578.9505878249</v>
      </c>
      <c r="I108" s="41">
        <f t="shared" si="85"/>
        <v>1200000</v>
      </c>
      <c r="J108" s="29">
        <f t="shared" si="86"/>
        <v>7333.333333333333</v>
      </c>
      <c r="K108" s="42">
        <f t="shared" si="87"/>
        <v>21245.617254491728</v>
      </c>
      <c r="L108" s="33">
        <f t="shared" si="3"/>
        <v>0</v>
      </c>
      <c r="M108" s="196">
        <f t="shared" si="96"/>
        <v>8279.2806816257926</v>
      </c>
      <c r="N108" s="29">
        <f t="shared" si="100"/>
        <v>7333.333333333333</v>
      </c>
      <c r="O108" s="30">
        <f t="shared" si="83"/>
        <v>945.94734829245954</v>
      </c>
      <c r="P108" s="43"/>
      <c r="Q108" s="44"/>
      <c r="R108" s="33"/>
      <c r="V108" s="45"/>
      <c r="W108" s="7"/>
      <c r="X108" s="7"/>
      <c r="Y108" s="46"/>
      <c r="Z108" s="7">
        <f t="shared" si="97"/>
        <v>21942.230207469511</v>
      </c>
      <c r="AA108" s="7"/>
      <c r="AC108" s="7"/>
    </row>
    <row r="109" spans="1:29">
      <c r="A109" s="18">
        <v>44946</v>
      </c>
      <c r="B109" s="37">
        <f t="shared" si="0"/>
        <v>-62733.333333333328</v>
      </c>
      <c r="C109" s="29">
        <v>-40000</v>
      </c>
      <c r="D109" s="29">
        <f t="shared" ref="D109" si="113">-I107*O$4*(A109-A107)/360</f>
        <v>-22733.333333333332</v>
      </c>
      <c r="E109" s="38"/>
      <c r="F109" s="39"/>
      <c r="G109" s="47"/>
      <c r="H109" s="24">
        <f t="shared" si="1"/>
        <v>1179069.5090118921</v>
      </c>
      <c r="I109" s="41">
        <f t="shared" si="85"/>
        <v>1160000</v>
      </c>
      <c r="J109" s="29">
        <f t="shared" si="86"/>
        <v>0</v>
      </c>
      <c r="K109" s="42">
        <f t="shared" si="87"/>
        <v>19069.509011892242</v>
      </c>
      <c r="L109" s="33">
        <f t="shared" si="3"/>
        <v>0</v>
      </c>
      <c r="M109" s="196">
        <f t="shared" si="94"/>
        <v>13223.891757400514</v>
      </c>
      <c r="N109" s="29">
        <f t="shared" ref="N109" si="114">I108*O$4*(A109-A108+1)/360</f>
        <v>15400</v>
      </c>
      <c r="O109" s="30">
        <f t="shared" si="83"/>
        <v>-2176.1082425994864</v>
      </c>
      <c r="P109" s="43"/>
      <c r="Q109" s="44"/>
      <c r="R109" s="33"/>
      <c r="V109" s="45"/>
      <c r="W109" s="7"/>
      <c r="X109" s="7"/>
      <c r="Y109" s="46"/>
      <c r="Z109" s="7"/>
      <c r="AA109" s="7"/>
      <c r="AC109" s="7"/>
    </row>
    <row r="110" spans="1:29">
      <c r="A110" s="18">
        <v>44957</v>
      </c>
      <c r="B110" s="37">
        <f t="shared" si="0"/>
        <v>0</v>
      </c>
      <c r="C110" s="29"/>
      <c r="D110" s="29">
        <v>0</v>
      </c>
      <c r="E110" s="38"/>
      <c r="F110" s="39"/>
      <c r="G110" s="47"/>
      <c r="H110" s="24">
        <f t="shared" si="1"/>
        <v>1187069.0583430878</v>
      </c>
      <c r="I110" s="41">
        <f t="shared" si="85"/>
        <v>1160000</v>
      </c>
      <c r="J110" s="29">
        <f t="shared" si="86"/>
        <v>7088.8888888888887</v>
      </c>
      <c r="K110" s="42">
        <f t="shared" si="87"/>
        <v>19980.169454198804</v>
      </c>
      <c r="L110" s="33">
        <f t="shared" si="3"/>
        <v>0</v>
      </c>
      <c r="M110" s="196">
        <f t="shared" si="96"/>
        <v>7999.5493311954515</v>
      </c>
      <c r="N110" s="29">
        <f t="shared" si="100"/>
        <v>7088.8888888888887</v>
      </c>
      <c r="O110" s="30">
        <f t="shared" si="83"/>
        <v>910.6604423065628</v>
      </c>
      <c r="P110" s="43"/>
      <c r="Q110" s="44"/>
      <c r="R110" s="33"/>
      <c r="V110" s="45"/>
      <c r="W110" s="7"/>
      <c r="X110" s="7"/>
      <c r="Y110" s="46"/>
      <c r="Z110" s="7">
        <f t="shared" si="97"/>
        <v>21223.441088595966</v>
      </c>
      <c r="AA110" s="7"/>
      <c r="AC110" s="7"/>
    </row>
    <row r="111" spans="1:29">
      <c r="A111" s="18">
        <v>44977</v>
      </c>
      <c r="B111" s="37">
        <f t="shared" si="0"/>
        <v>-61975.555555555555</v>
      </c>
      <c r="C111" s="29">
        <v>-40000</v>
      </c>
      <c r="D111" s="29">
        <f t="shared" ref="D111" si="115">-I109*O$4*(A111-A109)/360</f>
        <v>-21975.555555555555</v>
      </c>
      <c r="E111" s="38"/>
      <c r="F111" s="39"/>
      <c r="G111" s="47"/>
      <c r="H111" s="24">
        <f t="shared" si="1"/>
        <v>1137870.6000417033</v>
      </c>
      <c r="I111" s="41">
        <f t="shared" si="85"/>
        <v>1120000</v>
      </c>
      <c r="J111" s="29">
        <f t="shared" si="86"/>
        <v>0</v>
      </c>
      <c r="K111" s="42">
        <f t="shared" si="87"/>
        <v>17870.60004170343</v>
      </c>
      <c r="L111" s="33">
        <f t="shared" si="3"/>
        <v>0</v>
      </c>
      <c r="M111" s="196">
        <f t="shared" si="94"/>
        <v>12777.097254171294</v>
      </c>
      <c r="N111" s="29">
        <f t="shared" ref="N111" si="116">I110*O$4*(A111-A110+1)/360</f>
        <v>14886.666666666666</v>
      </c>
      <c r="O111" s="30">
        <f t="shared" si="83"/>
        <v>-2109.5694124953716</v>
      </c>
      <c r="P111" s="43"/>
      <c r="Q111" s="44"/>
      <c r="R111" s="33"/>
      <c r="V111" s="45"/>
      <c r="W111" s="7"/>
      <c r="X111" s="7"/>
      <c r="Y111" s="46"/>
      <c r="Z111" s="7"/>
      <c r="AA111" s="7"/>
      <c r="AC111" s="7"/>
    </row>
    <row r="112" spans="1:29">
      <c r="A112" s="18">
        <v>44985</v>
      </c>
      <c r="B112" s="37">
        <f t="shared" si="0"/>
        <v>0</v>
      </c>
      <c r="C112" s="29"/>
      <c r="D112" s="29">
        <v>0</v>
      </c>
      <c r="E112" s="38"/>
      <c r="F112" s="39"/>
      <c r="G112" s="47"/>
      <c r="H112" s="24">
        <f t="shared" si="1"/>
        <v>1143655.7259859855</v>
      </c>
      <c r="I112" s="41">
        <f t="shared" si="85"/>
        <v>1120000</v>
      </c>
      <c r="J112" s="29">
        <f t="shared" si="86"/>
        <v>4791.1111111111113</v>
      </c>
      <c r="K112" s="42">
        <f t="shared" si="87"/>
        <v>18864.614874874387</v>
      </c>
      <c r="L112" s="33">
        <f t="shared" si="3"/>
        <v>0</v>
      </c>
      <c r="M112" s="196">
        <f t="shared" si="96"/>
        <v>5785.1259442820701</v>
      </c>
      <c r="N112" s="29">
        <f t="shared" si="100"/>
        <v>4791.1111111111113</v>
      </c>
      <c r="O112" s="30">
        <f t="shared" si="83"/>
        <v>994.01483317095881</v>
      </c>
      <c r="P112" s="43"/>
      <c r="Q112" s="44"/>
      <c r="R112" s="33"/>
      <c r="V112" s="45"/>
      <c r="W112" s="7"/>
      <c r="X112" s="7"/>
      <c r="Y112" s="46"/>
      <c r="Z112" s="7">
        <f t="shared" si="97"/>
        <v>18562.223198453365</v>
      </c>
      <c r="AA112" s="7"/>
      <c r="AC112" s="7"/>
    </row>
    <row r="113" spans="1:29">
      <c r="A113" s="18">
        <v>45005</v>
      </c>
      <c r="B113" s="37">
        <f t="shared" si="0"/>
        <v>-59164.444444444445</v>
      </c>
      <c r="C113" s="29">
        <v>-40000</v>
      </c>
      <c r="D113" s="29">
        <f t="shared" ref="D113" si="117">-I111*O$4*(A113-A111)/360</f>
        <v>-19164.444444444445</v>
      </c>
      <c r="E113" s="38"/>
      <c r="F113" s="39"/>
      <c r="G113" s="47"/>
      <c r="H113" s="24">
        <f t="shared" si="1"/>
        <v>1096801.0964874458</v>
      </c>
      <c r="I113" s="41">
        <f t="shared" si="85"/>
        <v>1080000</v>
      </c>
      <c r="J113" s="29">
        <f t="shared" si="86"/>
        <v>0</v>
      </c>
      <c r="K113" s="42">
        <f t="shared" si="87"/>
        <v>16801.096487445797</v>
      </c>
      <c r="L113" s="33">
        <f t="shared" si="3"/>
        <v>0</v>
      </c>
      <c r="M113" s="196">
        <f t="shared" si="94"/>
        <v>12309.814945904744</v>
      </c>
      <c r="N113" s="29">
        <f t="shared" ref="N113" si="118">I112*O$4*(A113-A112+1)/360</f>
        <v>14373.333333333334</v>
      </c>
      <c r="O113" s="30">
        <f t="shared" si="83"/>
        <v>-2063.5183874285904</v>
      </c>
      <c r="P113" s="43"/>
      <c r="Q113" s="44"/>
      <c r="R113" s="33"/>
      <c r="V113" s="45"/>
      <c r="W113" s="7"/>
      <c r="X113" s="7"/>
      <c r="Y113" s="46"/>
      <c r="Z113" s="7"/>
      <c r="AA113" s="7"/>
      <c r="AC113" s="7"/>
    </row>
    <row r="114" spans="1:29">
      <c r="A114" s="18">
        <v>45016</v>
      </c>
      <c r="B114" s="37">
        <f t="shared" si="0"/>
        <v>0</v>
      </c>
      <c r="C114" s="29"/>
      <c r="D114" s="29">
        <v>0</v>
      </c>
      <c r="E114" s="38"/>
      <c r="F114" s="39"/>
      <c r="G114" s="47"/>
      <c r="H114" s="24">
        <f t="shared" si="1"/>
        <v>1104242.4851509635</v>
      </c>
      <c r="I114" s="41">
        <f t="shared" si="85"/>
        <v>1080000</v>
      </c>
      <c r="J114" s="29">
        <f t="shared" si="86"/>
        <v>6600</v>
      </c>
      <c r="K114" s="42">
        <f t="shared" si="87"/>
        <v>17642.485150963592</v>
      </c>
      <c r="L114" s="33">
        <f t="shared" si="3"/>
        <v>0</v>
      </c>
      <c r="M114" s="196">
        <f t="shared" si="96"/>
        <v>7441.3886635177932</v>
      </c>
      <c r="N114" s="29">
        <f t="shared" si="100"/>
        <v>6600</v>
      </c>
      <c r="O114" s="30">
        <f t="shared" si="83"/>
        <v>841.38866351779325</v>
      </c>
      <c r="P114" s="43"/>
      <c r="Q114" s="44"/>
      <c r="R114" s="33"/>
      <c r="V114" s="45"/>
      <c r="W114" s="7"/>
      <c r="X114" s="7"/>
      <c r="Y114" s="46"/>
      <c r="Z114" s="7">
        <f t="shared" si="97"/>
        <v>19751.203609422537</v>
      </c>
      <c r="AA114" s="7"/>
      <c r="AC114" s="7"/>
    </row>
    <row r="115" spans="1:29">
      <c r="A115" s="18">
        <v>45036</v>
      </c>
      <c r="B115" s="37">
        <f t="shared" si="0"/>
        <v>-60460</v>
      </c>
      <c r="C115" s="29">
        <v>-40000</v>
      </c>
      <c r="D115" s="29">
        <f t="shared" ref="D115" si="119">-I113*O$4*(A115-A113)/360</f>
        <v>-20460</v>
      </c>
      <c r="E115" s="38"/>
      <c r="F115" s="39"/>
      <c r="G115" s="47"/>
      <c r="H115" s="24">
        <f t="shared" si="1"/>
        <v>1055668.0730414062</v>
      </c>
      <c r="I115" s="41">
        <f t="shared" si="85"/>
        <v>1040000</v>
      </c>
      <c r="J115" s="29">
        <f t="shared" si="86"/>
        <v>0</v>
      </c>
      <c r="K115" s="42">
        <f t="shared" si="87"/>
        <v>15668.073041406156</v>
      </c>
      <c r="L115" s="33">
        <f t="shared" si="3"/>
        <v>0</v>
      </c>
      <c r="M115" s="196">
        <f t="shared" si="94"/>
        <v>11885.587890442564</v>
      </c>
      <c r="N115" s="29">
        <f t="shared" ref="N115" si="120">I114*O$4*(A115-A114+1)/360</f>
        <v>13860</v>
      </c>
      <c r="O115" s="30">
        <f t="shared" si="83"/>
        <v>-1974.4121095574355</v>
      </c>
      <c r="P115" s="43"/>
      <c r="Q115" s="44"/>
      <c r="R115" s="33"/>
      <c r="V115" s="45"/>
      <c r="W115" s="7"/>
      <c r="X115" s="7"/>
      <c r="Y115" s="46"/>
      <c r="Z115" s="7"/>
      <c r="AA115" s="7"/>
      <c r="AC115" s="7"/>
    </row>
    <row r="116" spans="1:29">
      <c r="A116" s="18">
        <v>45046</v>
      </c>
      <c r="B116" s="37">
        <f t="shared" si="0"/>
        <v>0</v>
      </c>
      <c r="C116" s="29"/>
      <c r="D116" s="29">
        <v>0</v>
      </c>
      <c r="E116" s="38"/>
      <c r="F116" s="39"/>
      <c r="G116" s="47"/>
      <c r="H116" s="24">
        <f t="shared" si="1"/>
        <v>1062231.6782232078</v>
      </c>
      <c r="I116" s="41">
        <f t="shared" si="85"/>
        <v>1040000</v>
      </c>
      <c r="J116" s="29">
        <f t="shared" si="86"/>
        <v>5720</v>
      </c>
      <c r="K116" s="42">
        <f t="shared" si="87"/>
        <v>16511.678223207888</v>
      </c>
      <c r="L116" s="33">
        <f t="shared" si="3"/>
        <v>0</v>
      </c>
      <c r="M116" s="196">
        <f t="shared" si="96"/>
        <v>6563.6051818017313</v>
      </c>
      <c r="N116" s="29">
        <f t="shared" si="100"/>
        <v>5720</v>
      </c>
      <c r="O116" s="30">
        <f t="shared" si="83"/>
        <v>843.60518180173131</v>
      </c>
      <c r="P116" s="43"/>
      <c r="Q116" s="44"/>
      <c r="R116" s="33"/>
      <c r="V116" s="45"/>
      <c r="W116" s="7"/>
      <c r="X116" s="7"/>
      <c r="Y116" s="46"/>
      <c r="Z116" s="7">
        <f t="shared" si="97"/>
        <v>18449.193072244296</v>
      </c>
      <c r="AA116" s="7"/>
      <c r="AC116" s="7"/>
    </row>
    <row r="117" spans="1:29">
      <c r="A117" s="18">
        <v>45066</v>
      </c>
      <c r="B117" s="37">
        <f t="shared" si="0"/>
        <v>-59066.666666666672</v>
      </c>
      <c r="C117" s="29">
        <v>-40000</v>
      </c>
      <c r="D117" s="29">
        <f t="shared" ref="D117" si="121">-I115*O$4*(A117-A115)/360</f>
        <v>-19066.666666666668</v>
      </c>
      <c r="E117" s="38"/>
      <c r="F117" s="39"/>
      <c r="G117" s="47"/>
      <c r="H117" s="24">
        <f t="shared" si="1"/>
        <v>1014598.4133150402</v>
      </c>
      <c r="I117" s="41">
        <f t="shared" si="85"/>
        <v>1000000</v>
      </c>
      <c r="J117" s="29">
        <f t="shared" si="86"/>
        <v>0</v>
      </c>
      <c r="K117" s="42">
        <f t="shared" si="87"/>
        <v>14598.413315040139</v>
      </c>
      <c r="L117" s="33">
        <f t="shared" si="3"/>
        <v>0</v>
      </c>
      <c r="M117" s="196">
        <f t="shared" si="94"/>
        <v>11433.401758498918</v>
      </c>
      <c r="N117" s="29">
        <f t="shared" ref="N117" si="122">I116*O$4*(A117-A116+1)/360</f>
        <v>13346.666666666666</v>
      </c>
      <c r="O117" s="30">
        <f t="shared" si="83"/>
        <v>-1913.2649081677482</v>
      </c>
      <c r="P117" s="43"/>
      <c r="Q117" s="44"/>
      <c r="R117" s="33"/>
      <c r="V117" s="45"/>
      <c r="W117" s="7"/>
      <c r="X117" s="7"/>
      <c r="Y117" s="46"/>
      <c r="Z117" s="7"/>
      <c r="AA117" s="7"/>
      <c r="AC117" s="7"/>
    </row>
    <row r="118" spans="1:29">
      <c r="A118" s="18">
        <v>45077</v>
      </c>
      <c r="B118" s="37">
        <f t="shared" si="0"/>
        <v>0</v>
      </c>
      <c r="C118" s="29"/>
      <c r="D118" s="29">
        <v>0</v>
      </c>
      <c r="E118" s="38"/>
      <c r="F118" s="39"/>
      <c r="G118" s="47"/>
      <c r="H118" s="24">
        <f t="shared" si="1"/>
        <v>1021482.0872601565</v>
      </c>
      <c r="I118" s="41">
        <f t="shared" si="85"/>
        <v>1000000</v>
      </c>
      <c r="J118" s="29">
        <f t="shared" si="86"/>
        <v>6111.1111111111113</v>
      </c>
      <c r="K118" s="42">
        <f t="shared" si="87"/>
        <v>15370.976149045384</v>
      </c>
      <c r="L118" s="33">
        <f t="shared" si="3"/>
        <v>0</v>
      </c>
      <c r="M118" s="196">
        <f t="shared" si="96"/>
        <v>6883.6739451163558</v>
      </c>
      <c r="N118" s="29">
        <f t="shared" si="100"/>
        <v>6111.1111111111113</v>
      </c>
      <c r="O118" s="30">
        <f t="shared" si="83"/>
        <v>772.56283400524444</v>
      </c>
      <c r="P118" s="43"/>
      <c r="Q118" s="44"/>
      <c r="R118" s="33"/>
      <c r="V118" s="45"/>
      <c r="W118" s="7"/>
      <c r="X118" s="7"/>
      <c r="Y118" s="46"/>
      <c r="Z118" s="7">
        <f t="shared" si="97"/>
        <v>18317.075703615272</v>
      </c>
      <c r="AA118" s="7"/>
      <c r="AC118" s="7"/>
    </row>
    <row r="119" spans="1:29">
      <c r="A119" s="18">
        <v>45097</v>
      </c>
      <c r="B119" s="37">
        <f t="shared" si="0"/>
        <v>-58944.444444444445</v>
      </c>
      <c r="C119" s="29">
        <v>-40000</v>
      </c>
      <c r="D119" s="29">
        <f t="shared" ref="D119" si="123">-I117*O$4*(A119-A117)/360</f>
        <v>-18944.444444444445</v>
      </c>
      <c r="E119" s="38"/>
      <c r="F119" s="39"/>
      <c r="G119" s="47"/>
      <c r="H119" s="24">
        <f t="shared" si="1"/>
        <v>973532.43362471042</v>
      </c>
      <c r="I119" s="41">
        <f t="shared" si="85"/>
        <v>960000</v>
      </c>
      <c r="J119" s="29">
        <f t="shared" si="86"/>
        <v>0</v>
      </c>
      <c r="K119" s="42">
        <f t="shared" si="87"/>
        <v>13532.4336247104</v>
      </c>
      <c r="L119" s="33">
        <f t="shared" si="3"/>
        <v>0</v>
      </c>
      <c r="M119" s="196">
        <f t="shared" si="94"/>
        <v>10994.79080899835</v>
      </c>
      <c r="N119" s="29">
        <f t="shared" ref="N119" si="124">I118*O$4*(A119-A118+1)/360</f>
        <v>12833.333333333334</v>
      </c>
      <c r="O119" s="30">
        <f t="shared" si="83"/>
        <v>-1838.5425243349837</v>
      </c>
      <c r="P119" s="43"/>
      <c r="Q119" s="44"/>
      <c r="R119" s="33"/>
      <c r="V119" s="45"/>
      <c r="W119" s="7"/>
      <c r="X119" s="7"/>
      <c r="Y119" s="46"/>
      <c r="Z119" s="7"/>
      <c r="AA119" s="7"/>
      <c r="AC119" s="7"/>
    </row>
    <row r="120" spans="1:29">
      <c r="A120" s="18">
        <v>45107</v>
      </c>
      <c r="B120" s="37">
        <f t="shared" si="0"/>
        <v>0</v>
      </c>
      <c r="C120" s="29"/>
      <c r="D120" s="29">
        <v>0</v>
      </c>
      <c r="E120" s="38"/>
      <c r="F120" s="39"/>
      <c r="G120" s="47"/>
      <c r="H120" s="24">
        <f t="shared" si="1"/>
        <v>979585.36132913723</v>
      </c>
      <c r="I120" s="41">
        <f t="shared" si="85"/>
        <v>960000</v>
      </c>
      <c r="J120" s="29">
        <f t="shared" si="86"/>
        <v>5280</v>
      </c>
      <c r="K120" s="42">
        <f t="shared" si="87"/>
        <v>14305.361329137217</v>
      </c>
      <c r="L120" s="33">
        <f t="shared" si="3"/>
        <v>0</v>
      </c>
      <c r="M120" s="196">
        <f t="shared" si="96"/>
        <v>6052.9277044268165</v>
      </c>
      <c r="N120" s="29">
        <f t="shared" si="100"/>
        <v>5280</v>
      </c>
      <c r="O120" s="30">
        <f t="shared" si="83"/>
        <v>772.92770442681649</v>
      </c>
      <c r="P120" s="43"/>
      <c r="Q120" s="44"/>
      <c r="R120" s="33"/>
      <c r="V120" s="45"/>
      <c r="W120" s="7"/>
      <c r="X120" s="7"/>
      <c r="Y120" s="46"/>
      <c r="Z120" s="7">
        <f t="shared" si="97"/>
        <v>17047.718513425167</v>
      </c>
      <c r="AA120" s="7"/>
      <c r="AC120" s="7"/>
    </row>
    <row r="121" spans="1:29">
      <c r="A121" s="18">
        <v>45127</v>
      </c>
      <c r="B121" s="37">
        <f t="shared" si="0"/>
        <v>-57600</v>
      </c>
      <c r="C121" s="29">
        <v>-40000</v>
      </c>
      <c r="D121" s="29">
        <f t="shared" ref="D121" si="125">-I119*O$4*(A121-A119)/360</f>
        <v>-17600</v>
      </c>
      <c r="E121" s="38"/>
      <c r="F121" s="39"/>
      <c r="G121" s="47"/>
      <c r="H121" s="24">
        <f t="shared" si="1"/>
        <v>932529.19392463518</v>
      </c>
      <c r="I121" s="41">
        <f t="shared" si="85"/>
        <v>920000</v>
      </c>
      <c r="J121" s="29">
        <f t="shared" si="86"/>
        <v>0</v>
      </c>
      <c r="K121" s="42">
        <f t="shared" si="87"/>
        <v>12529.193924635172</v>
      </c>
      <c r="L121" s="33">
        <f t="shared" si="3"/>
        <v>0</v>
      </c>
      <c r="M121" s="196">
        <f t="shared" si="94"/>
        <v>10543.832595497955</v>
      </c>
      <c r="N121" s="29">
        <f t="shared" ref="N121" si="126">I120*O$4*(A121-A120+1)/360</f>
        <v>12320</v>
      </c>
      <c r="O121" s="30">
        <f t="shared" si="83"/>
        <v>-1776.1674045020445</v>
      </c>
      <c r="P121" s="43"/>
      <c r="Q121" s="44"/>
      <c r="R121" s="33"/>
      <c r="V121" s="45"/>
      <c r="W121" s="7"/>
      <c r="X121" s="7"/>
      <c r="Y121" s="46"/>
      <c r="Z121" s="7"/>
      <c r="AA121" s="7"/>
      <c r="AC121" s="7"/>
    </row>
    <row r="122" spans="1:29">
      <c r="A122" s="18">
        <v>45138</v>
      </c>
      <c r="B122" s="37">
        <f t="shared" si="0"/>
        <v>0</v>
      </c>
      <c r="C122" s="29"/>
      <c r="D122" s="29">
        <v>0</v>
      </c>
      <c r="E122" s="38"/>
      <c r="F122" s="39"/>
      <c r="G122" s="47"/>
      <c r="H122" s="24">
        <f t="shared" si="1"/>
        <v>938856.05865361262</v>
      </c>
      <c r="I122" s="41">
        <f t="shared" si="85"/>
        <v>920000</v>
      </c>
      <c r="J122" s="29">
        <f t="shared" si="86"/>
        <v>5622.2222222222226</v>
      </c>
      <c r="K122" s="42">
        <f t="shared" si="87"/>
        <v>13233.836431390357</v>
      </c>
      <c r="L122" s="33">
        <f t="shared" si="3"/>
        <v>0</v>
      </c>
      <c r="M122" s="196">
        <f t="shared" si="96"/>
        <v>6326.8647289774071</v>
      </c>
      <c r="N122" s="29">
        <f t="shared" si="100"/>
        <v>5622.2222222222226</v>
      </c>
      <c r="O122" s="30">
        <f t="shared" si="83"/>
        <v>704.64250675518451</v>
      </c>
      <c r="P122" s="43"/>
      <c r="Q122" s="44"/>
      <c r="R122" s="33"/>
      <c r="V122" s="45"/>
      <c r="W122" s="7"/>
      <c r="X122" s="7"/>
      <c r="Y122" s="46"/>
      <c r="Z122" s="7">
        <f t="shared" si="97"/>
        <v>16870.697324475361</v>
      </c>
      <c r="AA122" s="7"/>
      <c r="AC122" s="7"/>
    </row>
    <row r="123" spans="1:29">
      <c r="A123" s="18">
        <v>45158</v>
      </c>
      <c r="B123" s="37">
        <f t="shared" si="0"/>
        <v>-57428.888888888891</v>
      </c>
      <c r="C123" s="29">
        <v>-40000</v>
      </c>
      <c r="D123" s="29">
        <f t="shared" ref="D123" si="127">-I121*O$4*(A123-A121)/360</f>
        <v>-17428.888888888891</v>
      </c>
      <c r="E123" s="38"/>
      <c r="F123" s="39"/>
      <c r="G123" s="47"/>
      <c r="H123" s="24">
        <f t="shared" si="1"/>
        <v>891532.60978506168</v>
      </c>
      <c r="I123" s="41">
        <f t="shared" si="85"/>
        <v>880000</v>
      </c>
      <c r="J123" s="29">
        <f t="shared" si="86"/>
        <v>0</v>
      </c>
      <c r="K123" s="42">
        <f t="shared" si="87"/>
        <v>11532.609785061668</v>
      </c>
      <c r="L123" s="33">
        <f t="shared" si="3"/>
        <v>0</v>
      </c>
      <c r="M123" s="196">
        <f t="shared" si="94"/>
        <v>10105.440020337977</v>
      </c>
      <c r="N123" s="29">
        <f t="shared" ref="N123" si="128">I122*O$4*(A123-A122+1)/360</f>
        <v>11806.666666666666</v>
      </c>
      <c r="O123" s="30">
        <f t="shared" si="83"/>
        <v>-1701.2266463286887</v>
      </c>
      <c r="P123" s="43"/>
      <c r="Q123" s="44"/>
      <c r="R123" s="33"/>
      <c r="V123" s="45"/>
      <c r="W123" s="7"/>
      <c r="X123" s="7"/>
      <c r="Y123" s="46"/>
      <c r="Z123" s="7"/>
      <c r="AA123" s="7"/>
      <c r="AC123" s="7"/>
    </row>
    <row r="124" spans="1:29">
      <c r="A124" s="18">
        <v>45169</v>
      </c>
      <c r="B124" s="37">
        <f t="shared" si="0"/>
        <v>0</v>
      </c>
      <c r="C124" s="29"/>
      <c r="D124" s="29">
        <v>0</v>
      </c>
      <c r="E124" s="38"/>
      <c r="F124" s="39"/>
      <c r="G124" s="47"/>
      <c r="H124" s="24">
        <f t="shared" si="1"/>
        <v>897581.32789526181</v>
      </c>
      <c r="I124" s="41">
        <f t="shared" si="85"/>
        <v>880000</v>
      </c>
      <c r="J124" s="29">
        <f t="shared" si="86"/>
        <v>5377.7777777777774</v>
      </c>
      <c r="K124" s="42">
        <f t="shared" si="87"/>
        <v>12203.550117484036</v>
      </c>
      <c r="L124" s="33">
        <f t="shared" si="3"/>
        <v>0</v>
      </c>
      <c r="M124" s="196">
        <f t="shared" si="96"/>
        <v>6048.7181102001459</v>
      </c>
      <c r="N124" s="29">
        <f t="shared" si="100"/>
        <v>5377.7777777777774</v>
      </c>
      <c r="O124" s="30">
        <f t="shared" si="83"/>
        <v>670.94033242236856</v>
      </c>
      <c r="P124" s="43"/>
      <c r="Q124" s="44"/>
      <c r="R124" s="33"/>
      <c r="V124" s="45"/>
      <c r="W124" s="7"/>
      <c r="X124" s="7"/>
      <c r="Y124" s="46"/>
      <c r="Z124" s="7">
        <f t="shared" si="97"/>
        <v>16154.158130538122</v>
      </c>
      <c r="AA124" s="7"/>
      <c r="AC124" s="7"/>
    </row>
    <row r="125" spans="1:29">
      <c r="A125" s="18">
        <v>45189</v>
      </c>
      <c r="B125" s="37">
        <f t="shared" si="0"/>
        <v>-56671.111111111109</v>
      </c>
      <c r="C125" s="29">
        <v>-40000</v>
      </c>
      <c r="D125" s="29">
        <f t="shared" ref="D125" si="129">-I123*O$4*(A125-A123)/360</f>
        <v>-16671.111111111109</v>
      </c>
      <c r="E125" s="38"/>
      <c r="F125" s="39"/>
      <c r="G125" s="47"/>
      <c r="H125" s="24">
        <f t="shared" si="1"/>
        <v>850571.39347765641</v>
      </c>
      <c r="I125" s="41">
        <f t="shared" si="85"/>
        <v>840000</v>
      </c>
      <c r="J125" s="29">
        <f t="shared" si="86"/>
        <v>0</v>
      </c>
      <c r="K125" s="42">
        <f t="shared" si="87"/>
        <v>10571.393477656382</v>
      </c>
      <c r="L125" s="33">
        <f t="shared" si="3"/>
        <v>0</v>
      </c>
      <c r="M125" s="196">
        <f t="shared" si="94"/>
        <v>9661.1766935056803</v>
      </c>
      <c r="N125" s="29">
        <f t="shared" ref="N125" si="130">I124*O$4*(A125-A124+1)/360</f>
        <v>11293.333333333334</v>
      </c>
      <c r="O125" s="30">
        <f t="shared" si="83"/>
        <v>-1632.1566398276536</v>
      </c>
      <c r="P125" s="43"/>
      <c r="Q125" s="44"/>
      <c r="R125" s="33"/>
      <c r="V125" s="45"/>
      <c r="W125" s="7"/>
      <c r="X125" s="7"/>
      <c r="Y125" s="46"/>
      <c r="Z125" s="7"/>
      <c r="AA125" s="7"/>
      <c r="AC125" s="7"/>
    </row>
    <row r="126" spans="1:29">
      <c r="A126" s="18">
        <v>45199</v>
      </c>
      <c r="B126" s="37">
        <f t="shared" si="0"/>
        <v>0</v>
      </c>
      <c r="C126" s="29"/>
      <c r="D126" s="29">
        <v>0</v>
      </c>
      <c r="E126" s="38"/>
      <c r="F126" s="39"/>
      <c r="G126" s="47"/>
      <c r="H126" s="24">
        <f t="shared" si="1"/>
        <v>855859.81220347621</v>
      </c>
      <c r="I126" s="41">
        <f t="shared" si="85"/>
        <v>840000</v>
      </c>
      <c r="J126" s="29">
        <f t="shared" si="86"/>
        <v>4620</v>
      </c>
      <c r="K126" s="42">
        <f t="shared" si="87"/>
        <v>11239.812203476171</v>
      </c>
      <c r="L126" s="33">
        <f t="shared" si="3"/>
        <v>0</v>
      </c>
      <c r="M126" s="196">
        <f t="shared" si="96"/>
        <v>5288.418725819789</v>
      </c>
      <c r="N126" s="29">
        <f t="shared" si="100"/>
        <v>4620</v>
      </c>
      <c r="O126" s="30">
        <f t="shared" si="83"/>
        <v>668.41872581978896</v>
      </c>
      <c r="P126" s="43"/>
      <c r="Q126" s="44"/>
      <c r="R126" s="33"/>
      <c r="V126" s="45"/>
      <c r="W126" s="7"/>
      <c r="X126" s="7"/>
      <c r="Y126" s="46"/>
      <c r="Z126" s="7">
        <f t="shared" si="97"/>
        <v>14949.595419325469</v>
      </c>
      <c r="AA126" s="7"/>
      <c r="AC126" s="7"/>
    </row>
    <row r="127" spans="1:29">
      <c r="A127" s="18">
        <v>45219</v>
      </c>
      <c r="B127" s="37">
        <f t="shared" si="0"/>
        <v>-55400</v>
      </c>
      <c r="C127" s="29">
        <v>-40000</v>
      </c>
      <c r="D127" s="29">
        <f t="shared" ref="D127" si="131">-I125*O$4*(A127-A125)/360</f>
        <v>-15400</v>
      </c>
      <c r="E127" s="38"/>
      <c r="F127" s="39"/>
      <c r="G127" s="47"/>
      <c r="H127" s="24">
        <f t="shared" si="1"/>
        <v>809671.91657061735</v>
      </c>
      <c r="I127" s="41">
        <f t="shared" si="85"/>
        <v>800000</v>
      </c>
      <c r="J127" s="29">
        <f t="shared" si="86"/>
        <v>0</v>
      </c>
      <c r="K127" s="42">
        <f t="shared" si="87"/>
        <v>9671.9165706174081</v>
      </c>
      <c r="L127" s="33">
        <f t="shared" si="3"/>
        <v>0</v>
      </c>
      <c r="M127" s="196">
        <f t="shared" si="94"/>
        <v>9212.1043671412372</v>
      </c>
      <c r="N127" s="29">
        <f t="shared" ref="N127" si="132">I126*O$4*(A127-A126+1)/360</f>
        <v>10780</v>
      </c>
      <c r="O127" s="30">
        <f t="shared" si="83"/>
        <v>-1567.8956328587628</v>
      </c>
      <c r="P127" s="43"/>
      <c r="Q127" s="44"/>
      <c r="R127" s="33"/>
      <c r="V127" s="45"/>
      <c r="W127" s="7"/>
      <c r="X127" s="7"/>
      <c r="Y127" s="46"/>
      <c r="Z127" s="7"/>
      <c r="AA127" s="7"/>
      <c r="AC127" s="7"/>
    </row>
    <row r="128" spans="1:29">
      <c r="A128" s="18">
        <v>45230</v>
      </c>
      <c r="B128" s="37">
        <f t="shared" si="0"/>
        <v>0</v>
      </c>
      <c r="C128" s="29"/>
      <c r="D128" s="29">
        <v>0</v>
      </c>
      <c r="E128" s="38"/>
      <c r="F128" s="39"/>
      <c r="G128" s="47"/>
      <c r="H128" s="24">
        <f t="shared" si="1"/>
        <v>815165.24023744534</v>
      </c>
      <c r="I128" s="41">
        <f t="shared" si="85"/>
        <v>800000</v>
      </c>
      <c r="J128" s="29">
        <f t="shared" si="86"/>
        <v>4888.8888888888887</v>
      </c>
      <c r="K128" s="42">
        <f t="shared" si="87"/>
        <v>10276.351348556454</v>
      </c>
      <c r="L128" s="33">
        <f t="shared" si="3"/>
        <v>0</v>
      </c>
      <c r="M128" s="196">
        <f t="shared" si="96"/>
        <v>5493.323666827936</v>
      </c>
      <c r="N128" s="29">
        <f t="shared" si="100"/>
        <v>4888.8888888888887</v>
      </c>
      <c r="O128" s="30">
        <f t="shared" si="83"/>
        <v>604.43477793904731</v>
      </c>
      <c r="P128" s="43"/>
      <c r="Q128" s="44"/>
      <c r="R128" s="33"/>
      <c r="V128" s="45"/>
      <c r="W128" s="7"/>
      <c r="X128" s="7"/>
      <c r="Y128" s="46"/>
      <c r="Z128" s="7">
        <f t="shared" si="97"/>
        <v>14705.428033969172</v>
      </c>
      <c r="AA128" s="7"/>
      <c r="AC128" s="7"/>
    </row>
    <row r="129" spans="1:29">
      <c r="A129" s="18">
        <v>45250</v>
      </c>
      <c r="B129" s="37">
        <f t="shared" si="0"/>
        <v>-55155.555555555555</v>
      </c>
      <c r="C129" s="29">
        <v>-40000</v>
      </c>
      <c r="D129" s="29">
        <f t="shared" ref="D129" si="133">-I127*O$4*(A129-A127)/360</f>
        <v>-15155.555555555555</v>
      </c>
      <c r="E129" s="38"/>
      <c r="F129" s="39"/>
      <c r="G129" s="47"/>
      <c r="H129" s="24">
        <f t="shared" si="1"/>
        <v>768783.77030018705</v>
      </c>
      <c r="I129" s="41">
        <f t="shared" si="85"/>
        <v>760000</v>
      </c>
      <c r="J129" s="29">
        <f t="shared" si="86"/>
        <v>0</v>
      </c>
      <c r="K129" s="42">
        <f t="shared" si="87"/>
        <v>8783.7703001870395</v>
      </c>
      <c r="L129" s="33">
        <f t="shared" si="3"/>
        <v>0</v>
      </c>
      <c r="M129" s="196">
        <f t="shared" si="94"/>
        <v>8774.0856182972511</v>
      </c>
      <c r="N129" s="29">
        <f t="shared" ref="N129" si="134">I128*O$4*(A129-A128+1)/360</f>
        <v>10266.666666666666</v>
      </c>
      <c r="O129" s="30">
        <f t="shared" si="83"/>
        <v>-1492.5810483694149</v>
      </c>
      <c r="P129" s="43"/>
      <c r="Q129" s="44"/>
      <c r="R129" s="33"/>
      <c r="V129" s="45"/>
      <c r="W129" s="7"/>
      <c r="X129" s="7"/>
      <c r="Y129" s="46"/>
      <c r="Z129" s="7"/>
      <c r="AA129" s="7"/>
      <c r="AC129" s="7"/>
    </row>
    <row r="130" spans="1:29">
      <c r="A130" s="18">
        <v>45260</v>
      </c>
      <c r="B130" s="37">
        <f t="shared" si="0"/>
        <v>0</v>
      </c>
      <c r="C130" s="29"/>
      <c r="D130" s="29">
        <v>0</v>
      </c>
      <c r="E130" s="38"/>
      <c r="F130" s="39"/>
      <c r="G130" s="47"/>
      <c r="H130" s="24">
        <f t="shared" si="1"/>
        <v>773563.67533595243</v>
      </c>
      <c r="I130" s="41">
        <f t="shared" si="85"/>
        <v>760000</v>
      </c>
      <c r="J130" s="29">
        <f t="shared" si="86"/>
        <v>4180</v>
      </c>
      <c r="K130" s="42">
        <f t="shared" si="87"/>
        <v>9383.6753359524446</v>
      </c>
      <c r="L130" s="33">
        <f t="shared" si="3"/>
        <v>0</v>
      </c>
      <c r="M130" s="196">
        <f t="shared" si="96"/>
        <v>4779.905035765406</v>
      </c>
      <c r="N130" s="29">
        <f t="shared" si="100"/>
        <v>4180</v>
      </c>
      <c r="O130" s="30">
        <f t="shared" si="83"/>
        <v>599.90503576540596</v>
      </c>
      <c r="P130" s="43"/>
      <c r="Q130" s="44"/>
      <c r="R130" s="33"/>
      <c r="V130" s="45"/>
      <c r="W130" s="7"/>
      <c r="X130" s="7"/>
      <c r="Y130" s="46"/>
      <c r="Z130" s="7">
        <f t="shared" si="97"/>
        <v>13553.990654062658</v>
      </c>
      <c r="AA130" s="7"/>
      <c r="AC130" s="7"/>
    </row>
    <row r="131" spans="1:29">
      <c r="A131" s="18">
        <v>45280</v>
      </c>
      <c r="B131" s="37">
        <f t="shared" si="0"/>
        <v>-53933.333333333336</v>
      </c>
      <c r="C131" s="29">
        <v>-40000</v>
      </c>
      <c r="D131" s="29">
        <f t="shared" ref="D131" si="135">-I129*O$4*(A131-A129)/360</f>
        <v>-13933.333333333334</v>
      </c>
      <c r="E131" s="38"/>
      <c r="F131" s="39"/>
      <c r="G131" s="47"/>
      <c r="H131" s="24">
        <f t="shared" si="1"/>
        <v>727956.64639291097</v>
      </c>
      <c r="I131" s="41">
        <f t="shared" si="85"/>
        <v>720000</v>
      </c>
      <c r="J131" s="29">
        <f t="shared" si="86"/>
        <v>0</v>
      </c>
      <c r="K131" s="42">
        <f t="shared" si="87"/>
        <v>7956.6463929109505</v>
      </c>
      <c r="L131" s="33">
        <f t="shared" si="3"/>
        <v>0</v>
      </c>
      <c r="M131" s="196">
        <f t="shared" si="94"/>
        <v>8326.3043902918398</v>
      </c>
      <c r="N131" s="29">
        <f t="shared" ref="N131" si="136">I130*O$4*(A131-A130+1)/360</f>
        <v>9753.3333333333339</v>
      </c>
      <c r="O131" s="30">
        <f t="shared" si="83"/>
        <v>-1427.0289430414941</v>
      </c>
      <c r="P131" s="43"/>
      <c r="Q131" s="44"/>
      <c r="R131" s="33"/>
      <c r="V131" s="45"/>
      <c r="W131" s="7"/>
      <c r="X131" s="7"/>
      <c r="Y131" s="46"/>
      <c r="Z131" s="7"/>
      <c r="AA131" s="7"/>
      <c r="AC131" s="7"/>
    </row>
    <row r="132" spans="1:29">
      <c r="A132" s="18">
        <v>45291</v>
      </c>
      <c r="B132" s="37">
        <f t="shared" si="0"/>
        <v>0</v>
      </c>
      <c r="C132" s="29"/>
      <c r="D132" s="29">
        <v>0</v>
      </c>
      <c r="E132" s="38"/>
      <c r="F132" s="39"/>
      <c r="G132" s="47"/>
      <c r="H132" s="24">
        <f t="shared" si="1"/>
        <v>732895.56225773715</v>
      </c>
      <c r="I132" s="41">
        <f t="shared" si="85"/>
        <v>720000</v>
      </c>
      <c r="J132" s="29">
        <f t="shared" si="86"/>
        <v>4400</v>
      </c>
      <c r="K132" s="42">
        <f t="shared" si="87"/>
        <v>8495.5622577371687</v>
      </c>
      <c r="L132" s="33">
        <f t="shared" si="3"/>
        <v>0</v>
      </c>
      <c r="M132" s="196">
        <f t="shared" si="96"/>
        <v>4938.9158648262191</v>
      </c>
      <c r="N132" s="29">
        <f t="shared" si="100"/>
        <v>4400</v>
      </c>
      <c r="O132" s="30">
        <f t="shared" si="83"/>
        <v>538.91586482621915</v>
      </c>
      <c r="P132" s="43"/>
      <c r="Q132" s="44"/>
      <c r="R132" s="33"/>
      <c r="V132" s="45"/>
      <c r="W132" s="7"/>
      <c r="X132" s="7"/>
      <c r="Y132" s="46"/>
      <c r="Z132" s="7">
        <f t="shared" si="97"/>
        <v>13265.22025511806</v>
      </c>
      <c r="AA132" s="7"/>
      <c r="AC132" s="7"/>
    </row>
    <row r="133" spans="1:29">
      <c r="A133" s="18">
        <v>45311</v>
      </c>
      <c r="B133" s="37">
        <f t="shared" si="0"/>
        <v>-53640</v>
      </c>
      <c r="C133" s="29">
        <v>-40000</v>
      </c>
      <c r="D133" s="29">
        <f t="shared" ref="D133" si="137">-I131*O$4*(A133-A131)/360</f>
        <v>-13640</v>
      </c>
      <c r="E133" s="38"/>
      <c r="F133" s="39"/>
      <c r="G133" s="47"/>
      <c r="H133" s="24">
        <f t="shared" si="1"/>
        <v>687144.13269119477</v>
      </c>
      <c r="I133" s="41">
        <f t="shared" si="85"/>
        <v>680000</v>
      </c>
      <c r="J133" s="29">
        <f t="shared" si="86"/>
        <v>0</v>
      </c>
      <c r="K133" s="42">
        <f t="shared" si="87"/>
        <v>7144.1326911947881</v>
      </c>
      <c r="L133" s="33">
        <f t="shared" si="3"/>
        <v>0</v>
      </c>
      <c r="M133" s="196">
        <f t="shared" si="94"/>
        <v>7888.5704334576194</v>
      </c>
      <c r="N133" s="29">
        <f t="shared" ref="N133" si="138">I132*O$4*(A133-A132+1)/360</f>
        <v>9240</v>
      </c>
      <c r="O133" s="30">
        <f t="shared" si="83"/>
        <v>-1351.4295665423806</v>
      </c>
      <c r="P133" s="43"/>
      <c r="Q133" s="44"/>
      <c r="R133" s="33"/>
      <c r="V133" s="45"/>
      <c r="W133" s="7"/>
      <c r="X133" s="7"/>
      <c r="Y133" s="46"/>
      <c r="Z133" s="7"/>
      <c r="AA133" s="7"/>
      <c r="AC133" s="7"/>
    </row>
    <row r="134" spans="1:29">
      <c r="A134" s="18">
        <v>45322</v>
      </c>
      <c r="B134" s="37">
        <f t="shared" si="0"/>
        <v>0</v>
      </c>
      <c r="C134" s="29"/>
      <c r="D134" s="29">
        <v>0</v>
      </c>
      <c r="E134" s="38"/>
      <c r="F134" s="39"/>
      <c r="G134" s="47"/>
      <c r="H134" s="24">
        <f t="shared" si="1"/>
        <v>691806.1507868974</v>
      </c>
      <c r="I134" s="41">
        <f t="shared" si="85"/>
        <v>680000</v>
      </c>
      <c r="J134" s="29">
        <f t="shared" si="86"/>
        <v>4155.5555555555557</v>
      </c>
      <c r="K134" s="42">
        <f t="shared" si="87"/>
        <v>7650.5952313419211</v>
      </c>
      <c r="L134" s="33">
        <f t="shared" si="3"/>
        <v>0</v>
      </c>
      <c r="M134" s="196">
        <f t="shared" si="96"/>
        <v>4662.0180957026887</v>
      </c>
      <c r="N134" s="29">
        <f t="shared" si="100"/>
        <v>4155.5555555555557</v>
      </c>
      <c r="O134" s="30">
        <f t="shared" si="83"/>
        <v>506.46254014713304</v>
      </c>
      <c r="P134" s="43"/>
      <c r="Q134" s="44"/>
      <c r="R134" s="33"/>
      <c r="V134" s="45"/>
      <c r="W134" s="7"/>
      <c r="X134" s="7"/>
      <c r="Y134" s="46"/>
      <c r="Z134" s="7">
        <f t="shared" si="97"/>
        <v>12550.588529160308</v>
      </c>
      <c r="AA134" s="7"/>
      <c r="AC134" s="7"/>
    </row>
    <row r="135" spans="1:29">
      <c r="A135" s="18">
        <v>45342</v>
      </c>
      <c r="B135" s="37">
        <f t="shared" si="0"/>
        <v>-52882.222222222219</v>
      </c>
      <c r="C135" s="29">
        <v>-40000</v>
      </c>
      <c r="D135" s="29">
        <f t="shared" ref="D135" si="139">-I133*O$4*(A135-A133)/360</f>
        <v>-12882.222222222223</v>
      </c>
      <c r="E135" s="38"/>
      <c r="F135" s="39"/>
      <c r="G135" s="47"/>
      <c r="H135" s="24">
        <f t="shared" si="1"/>
        <v>646370.23036785424</v>
      </c>
      <c r="I135" s="41">
        <f t="shared" si="85"/>
        <v>640000</v>
      </c>
      <c r="J135" s="29">
        <f t="shared" si="86"/>
        <v>0</v>
      </c>
      <c r="K135" s="42">
        <f t="shared" si="87"/>
        <v>6370.2303678542103</v>
      </c>
      <c r="L135" s="33">
        <f t="shared" si="3"/>
        <v>0</v>
      </c>
      <c r="M135" s="196">
        <f t="shared" si="94"/>
        <v>7446.3018031789552</v>
      </c>
      <c r="N135" s="29">
        <f t="shared" ref="N135" si="140">I134*O$4*(A135-A134+1)/360</f>
        <v>8726.6666666666661</v>
      </c>
      <c r="O135" s="30">
        <f t="shared" si="83"/>
        <v>-1280.3648634877109</v>
      </c>
      <c r="P135" s="43"/>
      <c r="Q135" s="44"/>
      <c r="R135" s="33"/>
      <c r="V135" s="45"/>
      <c r="W135" s="7"/>
      <c r="X135" s="7"/>
      <c r="Y135" s="46"/>
      <c r="Z135" s="7"/>
      <c r="AA135" s="7"/>
      <c r="AC135" s="7"/>
    </row>
    <row r="136" spans="1:29">
      <c r="A136" s="18">
        <v>45351</v>
      </c>
      <c r="B136" s="37">
        <f t="shared" si="0"/>
        <v>0</v>
      </c>
      <c r="C136" s="29"/>
      <c r="D136" s="29">
        <v>0</v>
      </c>
      <c r="E136" s="38"/>
      <c r="F136" s="39"/>
      <c r="G136" s="47"/>
      <c r="H136" s="24">
        <f t="shared" si="1"/>
        <v>650022.6548476232</v>
      </c>
      <c r="I136" s="41">
        <f t="shared" si="85"/>
        <v>640000</v>
      </c>
      <c r="J136" s="29">
        <f t="shared" si="86"/>
        <v>3128.8888888888887</v>
      </c>
      <c r="K136" s="42">
        <f t="shared" si="87"/>
        <v>6893.7659587343114</v>
      </c>
      <c r="L136" s="33">
        <f t="shared" si="3"/>
        <v>0</v>
      </c>
      <c r="M136" s="196">
        <f t="shared" si="96"/>
        <v>3652.4244797689894</v>
      </c>
      <c r="N136" s="29">
        <f t="shared" si="100"/>
        <v>3128.8888888888887</v>
      </c>
      <c r="O136" s="30">
        <f t="shared" si="83"/>
        <v>523.5355908801007</v>
      </c>
      <c r="P136" s="43"/>
      <c r="Q136" s="44"/>
      <c r="R136" s="33"/>
      <c r="V136" s="45"/>
      <c r="W136" s="7"/>
      <c r="X136" s="7"/>
      <c r="Y136" s="46"/>
      <c r="Z136" s="7">
        <f t="shared" si="97"/>
        <v>11098.726282947944</v>
      </c>
      <c r="AA136" s="7"/>
      <c r="AC136" s="7"/>
    </row>
    <row r="137" spans="1:29">
      <c r="A137" s="18">
        <v>45371</v>
      </c>
      <c r="B137" s="37">
        <f t="shared" si="0"/>
        <v>-51342.222222222219</v>
      </c>
      <c r="C137" s="29">
        <v>-40000</v>
      </c>
      <c r="D137" s="29">
        <f t="shared" ref="D137" si="141">-I135*O$4*(A137-A135)/360</f>
        <v>-11342.222222222223</v>
      </c>
      <c r="E137" s="38"/>
      <c r="F137" s="39"/>
      <c r="G137" s="47"/>
      <c r="H137" s="24">
        <f t="shared" si="1"/>
        <v>605676.9949736736</v>
      </c>
      <c r="I137" s="41">
        <f t="shared" si="85"/>
        <v>600000</v>
      </c>
      <c r="J137" s="29">
        <f t="shared" si="86"/>
        <v>0</v>
      </c>
      <c r="K137" s="42">
        <f t="shared" si="87"/>
        <v>5676.9949736736135</v>
      </c>
      <c r="L137" s="33">
        <f t="shared" si="3"/>
        <v>0</v>
      </c>
      <c r="M137" s="196">
        <f t="shared" si="94"/>
        <v>6996.562348272636</v>
      </c>
      <c r="N137" s="29">
        <f t="shared" ref="N137" si="142">I136*O$4*(A137-A136+1)/360</f>
        <v>8213.3333333333339</v>
      </c>
      <c r="O137" s="30">
        <f t="shared" si="83"/>
        <v>-1216.770985060698</v>
      </c>
      <c r="P137" s="43"/>
      <c r="Q137" s="44"/>
      <c r="R137" s="33"/>
      <c r="V137" s="45"/>
      <c r="W137" s="7"/>
      <c r="X137" s="7"/>
      <c r="Y137" s="46"/>
      <c r="Z137" s="7"/>
      <c r="AA137" s="7"/>
      <c r="AC137" s="7"/>
    </row>
    <row r="138" spans="1:29">
      <c r="A138" s="18">
        <v>45382</v>
      </c>
      <c r="B138" s="37">
        <f t="shared" si="0"/>
        <v>0</v>
      </c>
      <c r="C138" s="29"/>
      <c r="D138" s="29">
        <v>0</v>
      </c>
      <c r="E138" s="38"/>
      <c r="F138" s="39"/>
      <c r="G138" s="47"/>
      <c r="H138" s="24">
        <f t="shared" si="1"/>
        <v>609786.28875409078</v>
      </c>
      <c r="I138" s="41">
        <f t="shared" si="85"/>
        <v>600000</v>
      </c>
      <c r="J138" s="29">
        <f t="shared" si="86"/>
        <v>3666.6666666666665</v>
      </c>
      <c r="K138" s="42">
        <f t="shared" si="87"/>
        <v>6119.622087424139</v>
      </c>
      <c r="L138" s="33">
        <f t="shared" si="3"/>
        <v>0</v>
      </c>
      <c r="M138" s="196">
        <f t="shared" si="96"/>
        <v>4109.2937804171925</v>
      </c>
      <c r="N138" s="29">
        <f t="shared" si="100"/>
        <v>3666.6666666666665</v>
      </c>
      <c r="O138" s="30">
        <f t="shared" si="83"/>
        <v>442.62711375052595</v>
      </c>
      <c r="P138" s="43"/>
      <c r="Q138" s="44"/>
      <c r="R138" s="33"/>
      <c r="V138" s="45"/>
      <c r="W138" s="7"/>
      <c r="X138" s="7"/>
      <c r="Y138" s="46"/>
      <c r="Z138" s="7">
        <f t="shared" si="97"/>
        <v>11105.856128689829</v>
      </c>
      <c r="AA138" s="7"/>
      <c r="AC138" s="7"/>
    </row>
    <row r="139" spans="1:29">
      <c r="A139" s="18">
        <v>45402</v>
      </c>
      <c r="B139" s="37">
        <f t="shared" si="0"/>
        <v>-51366.666666666664</v>
      </c>
      <c r="C139" s="29">
        <v>-40000</v>
      </c>
      <c r="D139" s="29">
        <f t="shared" ref="D139" si="143">-I137*O$4*(A139-A137)/360</f>
        <v>-11366.666666666666</v>
      </c>
      <c r="E139" s="38"/>
      <c r="F139" s="39"/>
      <c r="G139" s="47"/>
      <c r="H139" s="24">
        <f t="shared" si="1"/>
        <v>564983.09761642688</v>
      </c>
      <c r="I139" s="41">
        <f t="shared" si="85"/>
        <v>560000</v>
      </c>
      <c r="J139" s="29">
        <f t="shared" si="86"/>
        <v>0</v>
      </c>
      <c r="K139" s="42">
        <f t="shared" si="87"/>
        <v>4983.0976164268914</v>
      </c>
      <c r="L139" s="33">
        <f t="shared" si="3"/>
        <v>0</v>
      </c>
      <c r="M139" s="196">
        <f t="shared" si="94"/>
        <v>6563.4755290027524</v>
      </c>
      <c r="N139" s="29">
        <f t="shared" ref="N139" si="144">I138*O$4*(A139-A138+1)/360</f>
        <v>7700</v>
      </c>
      <c r="O139" s="30">
        <f t="shared" si="83"/>
        <v>-1136.5244709972476</v>
      </c>
      <c r="P139" s="43"/>
      <c r="Q139" s="44"/>
      <c r="R139" s="33"/>
      <c r="V139" s="45"/>
      <c r="W139" s="7"/>
      <c r="X139" s="7"/>
      <c r="Y139" s="46"/>
      <c r="Z139" s="7"/>
      <c r="AA139" s="7"/>
      <c r="AC139" s="7"/>
    </row>
    <row r="140" spans="1:29">
      <c r="A140" s="18">
        <v>45412</v>
      </c>
      <c r="B140" s="37">
        <f t="shared" si="0"/>
        <v>0</v>
      </c>
      <c r="C140" s="29"/>
      <c r="D140" s="29">
        <v>0</v>
      </c>
      <c r="E140" s="38"/>
      <c r="F140" s="39"/>
      <c r="G140" s="47"/>
      <c r="H140" s="24">
        <f t="shared" si="1"/>
        <v>568495.87410540588</v>
      </c>
      <c r="I140" s="41">
        <f t="shared" si="85"/>
        <v>560000</v>
      </c>
      <c r="J140" s="29">
        <f t="shared" si="86"/>
        <v>3080</v>
      </c>
      <c r="K140" s="42">
        <f t="shared" si="87"/>
        <v>5415.8741054058491</v>
      </c>
      <c r="L140" s="33">
        <f t="shared" si="3"/>
        <v>0</v>
      </c>
      <c r="M140" s="196">
        <f t="shared" si="96"/>
        <v>3512.7764889789578</v>
      </c>
      <c r="N140" s="29">
        <f t="shared" si="100"/>
        <v>3080</v>
      </c>
      <c r="O140" s="30">
        <f t="shared" si="83"/>
        <v>432.77648897895779</v>
      </c>
      <c r="P140" s="43"/>
      <c r="Q140" s="44"/>
      <c r="R140" s="33"/>
      <c r="V140" s="45"/>
      <c r="W140" s="7"/>
      <c r="X140" s="7"/>
      <c r="Y140" s="46"/>
      <c r="Z140" s="7">
        <f t="shared" si="97"/>
        <v>10076.252017981711</v>
      </c>
      <c r="AA140" s="7"/>
      <c r="AC140" s="7"/>
    </row>
    <row r="141" spans="1:29">
      <c r="A141" s="18">
        <v>45432</v>
      </c>
      <c r="B141" s="37">
        <f t="shared" si="0"/>
        <v>-50266.666666666664</v>
      </c>
      <c r="C141" s="29">
        <v>-40000</v>
      </c>
      <c r="D141" s="29">
        <f t="shared" ref="D141" si="145">-I139*O$4*(A141-A139)/360</f>
        <v>-10266.666666666666</v>
      </c>
      <c r="E141" s="38"/>
      <c r="F141" s="39"/>
      <c r="G141" s="47"/>
      <c r="H141" s="24">
        <f t="shared" si="1"/>
        <v>524348.25082630641</v>
      </c>
      <c r="I141" s="41">
        <f t="shared" si="85"/>
        <v>520000</v>
      </c>
      <c r="J141" s="29">
        <f t="shared" si="86"/>
        <v>0</v>
      </c>
      <c r="K141" s="42">
        <f t="shared" si="87"/>
        <v>4348.2508263063801</v>
      </c>
      <c r="L141" s="33">
        <f t="shared" si="3"/>
        <v>0</v>
      </c>
      <c r="M141" s="196">
        <f t="shared" si="94"/>
        <v>6119.0433875671979</v>
      </c>
      <c r="N141" s="29">
        <f t="shared" ref="N141" si="146">I140*O$4*(A141-A140+1)/360</f>
        <v>7186.666666666667</v>
      </c>
      <c r="O141" s="30">
        <f t="shared" si="83"/>
        <v>-1067.6232790994691</v>
      </c>
      <c r="P141" s="43"/>
      <c r="Q141" s="44"/>
      <c r="R141" s="33"/>
      <c r="V141" s="45"/>
      <c r="W141" s="7"/>
      <c r="X141" s="7"/>
      <c r="Y141" s="46"/>
      <c r="Z141" s="7"/>
      <c r="AA141" s="7"/>
      <c r="AC141" s="7"/>
    </row>
    <row r="142" spans="1:29">
      <c r="A142" s="18">
        <v>45443</v>
      </c>
      <c r="B142" s="37">
        <f t="shared" si="0"/>
        <v>0</v>
      </c>
      <c r="C142" s="29"/>
      <c r="D142" s="29">
        <v>0</v>
      </c>
      <c r="E142" s="38"/>
      <c r="F142" s="39"/>
      <c r="G142" s="47"/>
      <c r="H142" s="24">
        <f t="shared" si="1"/>
        <v>527905.7592404848</v>
      </c>
      <c r="I142" s="41">
        <f t="shared" si="85"/>
        <v>520000</v>
      </c>
      <c r="J142" s="29">
        <f t="shared" si="86"/>
        <v>3177.7777777777778</v>
      </c>
      <c r="K142" s="42">
        <f t="shared" si="87"/>
        <v>4727.9814627070728</v>
      </c>
      <c r="L142" s="33">
        <f t="shared" si="3"/>
        <v>0</v>
      </c>
      <c r="M142" s="196">
        <f t="shared" si="96"/>
        <v>3557.5084141784705</v>
      </c>
      <c r="N142" s="29">
        <f t="shared" si="100"/>
        <v>3177.7777777777778</v>
      </c>
      <c r="O142" s="30">
        <f t="shared" si="83"/>
        <v>379.73063640069267</v>
      </c>
      <c r="P142" s="43"/>
      <c r="Q142" s="44"/>
      <c r="R142" s="33"/>
      <c r="V142" s="45"/>
      <c r="W142" s="7"/>
      <c r="X142" s="7"/>
      <c r="Y142" s="46"/>
      <c r="Z142" s="7">
        <f t="shared" si="97"/>
        <v>9676.5518017456689</v>
      </c>
      <c r="AA142" s="7"/>
      <c r="AC142" s="7"/>
    </row>
    <row r="143" spans="1:29">
      <c r="A143" s="18">
        <v>45463</v>
      </c>
      <c r="B143" s="37">
        <f t="shared" si="0"/>
        <v>-49851.111111111109</v>
      </c>
      <c r="C143" s="29">
        <v>-40000</v>
      </c>
      <c r="D143" s="29">
        <f t="shared" ref="D143" si="147">-I141*O$4*(A143-A141)/360</f>
        <v>-9851.1111111111113</v>
      </c>
      <c r="E143" s="38"/>
      <c r="F143" s="39"/>
      <c r="G143" s="47"/>
      <c r="H143" s="24">
        <f t="shared" si="1"/>
        <v>483736.79709909554</v>
      </c>
      <c r="I143" s="41">
        <f t="shared" si="85"/>
        <v>480000</v>
      </c>
      <c r="J143" s="29">
        <f t="shared" si="86"/>
        <v>0</v>
      </c>
      <c r="K143" s="42">
        <f t="shared" si="87"/>
        <v>3736.7970990955455</v>
      </c>
      <c r="L143" s="33">
        <f t="shared" si="3"/>
        <v>0</v>
      </c>
      <c r="M143" s="196">
        <f t="shared" si="94"/>
        <v>5682.1489697218058</v>
      </c>
      <c r="N143" s="29">
        <f t="shared" ref="N143" si="148">I142*O$4*(A143-A142+1)/360</f>
        <v>6673.333333333333</v>
      </c>
      <c r="O143" s="30">
        <f t="shared" si="83"/>
        <v>-991.18436361152726</v>
      </c>
      <c r="P143" s="43"/>
      <c r="Q143" s="44"/>
      <c r="R143" s="33"/>
      <c r="V143" s="45"/>
      <c r="W143" s="7"/>
      <c r="X143" s="7"/>
      <c r="Y143" s="46"/>
      <c r="Z143" s="7"/>
      <c r="AA143" s="7"/>
      <c r="AC143" s="7"/>
    </row>
    <row r="144" spans="1:29">
      <c r="A144" s="18">
        <v>45473</v>
      </c>
      <c r="B144" s="37">
        <f t="shared" si="0"/>
        <v>0</v>
      </c>
      <c r="C144" s="29"/>
      <c r="D144" s="29">
        <v>0</v>
      </c>
      <c r="E144" s="38"/>
      <c r="F144" s="39"/>
      <c r="G144" s="47"/>
      <c r="H144" s="24">
        <f t="shared" si="1"/>
        <v>486744.42556598701</v>
      </c>
      <c r="I144" s="41">
        <f t="shared" si="85"/>
        <v>480000</v>
      </c>
      <c r="J144" s="29">
        <f t="shared" si="86"/>
        <v>2640</v>
      </c>
      <c r="K144" s="42">
        <f t="shared" si="87"/>
        <v>4104.425565987015</v>
      </c>
      <c r="L144" s="33">
        <f t="shared" si="3"/>
        <v>0</v>
      </c>
      <c r="M144" s="196">
        <f t="shared" si="96"/>
        <v>3007.6284668914695</v>
      </c>
      <c r="N144" s="29">
        <f t="shared" si="100"/>
        <v>2640</v>
      </c>
      <c r="O144" s="30">
        <f t="shared" si="83"/>
        <v>367.62846689146954</v>
      </c>
      <c r="P144" s="43"/>
      <c r="Q144" s="44"/>
      <c r="R144" s="33"/>
      <c r="V144" s="45"/>
      <c r="W144" s="7"/>
      <c r="X144" s="7"/>
      <c r="Y144" s="46"/>
      <c r="Z144" s="7">
        <f t="shared" si="97"/>
        <v>8689.7774366132762</v>
      </c>
      <c r="AA144" s="7"/>
      <c r="AC144" s="7"/>
    </row>
    <row r="145" spans="1:29">
      <c r="A145" s="18">
        <v>45493</v>
      </c>
      <c r="B145" s="37">
        <f t="shared" si="0"/>
        <v>-48800</v>
      </c>
      <c r="C145" s="29">
        <v>-40000</v>
      </c>
      <c r="D145" s="29">
        <f t="shared" ref="D145" si="149">-I143*O$4*(A145-A143)/360</f>
        <v>-8800</v>
      </c>
      <c r="E145" s="38"/>
      <c r="F145" s="39"/>
      <c r="G145" s="47"/>
      <c r="H145" s="24">
        <f t="shared" si="1"/>
        <v>443183.53176597768</v>
      </c>
      <c r="I145" s="41">
        <f t="shared" si="85"/>
        <v>440000</v>
      </c>
      <c r="J145" s="29">
        <f t="shared" si="86"/>
        <v>0</v>
      </c>
      <c r="K145" s="42">
        <f t="shared" si="87"/>
        <v>3183.5317659776838</v>
      </c>
      <c r="L145" s="33">
        <f t="shared" si="3"/>
        <v>0</v>
      </c>
      <c r="M145" s="196">
        <f t="shared" si="94"/>
        <v>5239.1061999906688</v>
      </c>
      <c r="N145" s="29">
        <f t="shared" ref="N145" si="150">I144*O$4*(A145-A144+1)/360</f>
        <v>6160</v>
      </c>
      <c r="O145" s="30">
        <f t="shared" si="83"/>
        <v>-920.89380000933124</v>
      </c>
      <c r="P145" s="43"/>
      <c r="Q145" s="44"/>
      <c r="R145" s="33"/>
      <c r="V145" s="45"/>
      <c r="W145" s="7"/>
      <c r="X145" s="7"/>
      <c r="Y145" s="46"/>
      <c r="Z145" s="7"/>
      <c r="AA145" s="7"/>
      <c r="AC145" s="7"/>
    </row>
    <row r="146" spans="1:29">
      <c r="A146" s="18">
        <v>45504</v>
      </c>
      <c r="B146" s="37">
        <f t="shared" si="0"/>
        <v>0</v>
      </c>
      <c r="C146" s="29"/>
      <c r="D146" s="29">
        <v>0</v>
      </c>
      <c r="E146" s="38"/>
      <c r="F146" s="39"/>
      <c r="G146" s="47"/>
      <c r="H146" s="24">
        <f t="shared" si="1"/>
        <v>446190.36766330019</v>
      </c>
      <c r="I146" s="41">
        <f t="shared" si="85"/>
        <v>440000</v>
      </c>
      <c r="J146" s="29">
        <f t="shared" si="86"/>
        <v>2688.8888888888887</v>
      </c>
      <c r="K146" s="42">
        <f t="shared" si="87"/>
        <v>3501.4787744112891</v>
      </c>
      <c r="L146" s="33">
        <f t="shared" si="3"/>
        <v>0</v>
      </c>
      <c r="M146" s="196">
        <f t="shared" si="96"/>
        <v>3006.835897322494</v>
      </c>
      <c r="N146" s="29">
        <f t="shared" si="100"/>
        <v>2688.8888888888887</v>
      </c>
      <c r="O146" s="30">
        <f t="shared" si="83"/>
        <v>317.94700843360533</v>
      </c>
      <c r="P146" s="43"/>
      <c r="Q146" s="44"/>
      <c r="R146" s="33"/>
      <c r="V146" s="45"/>
      <c r="W146" s="7"/>
      <c r="X146" s="7"/>
      <c r="Y146" s="46"/>
      <c r="Z146" s="7">
        <f t="shared" si="97"/>
        <v>8245.9420973131637</v>
      </c>
      <c r="AA146" s="7"/>
      <c r="AC146" s="7"/>
    </row>
    <row r="147" spans="1:29">
      <c r="A147" s="18">
        <v>45524</v>
      </c>
      <c r="B147" s="37">
        <f t="shared" si="0"/>
        <v>-48335.555555555555</v>
      </c>
      <c r="C147" s="29">
        <v>-40000</v>
      </c>
      <c r="D147" s="29">
        <f t="shared" ref="D147" si="151">-I145*O$4*(A147-A145)/360</f>
        <v>-8335.5555555555547</v>
      </c>
      <c r="E147" s="38"/>
      <c r="F147" s="39"/>
      <c r="G147" s="47"/>
      <c r="H147" s="24">
        <f t="shared" si="1"/>
        <v>402657.41199141601</v>
      </c>
      <c r="I147" s="41">
        <f t="shared" si="85"/>
        <v>400000</v>
      </c>
      <c r="J147" s="29">
        <f t="shared" si="86"/>
        <v>0</v>
      </c>
      <c r="K147" s="42">
        <f t="shared" si="87"/>
        <v>2657.4119914160228</v>
      </c>
      <c r="L147" s="33">
        <f t="shared" si="3"/>
        <v>0</v>
      </c>
      <c r="M147" s="196">
        <f t="shared" si="94"/>
        <v>4802.5998836714007</v>
      </c>
      <c r="N147" s="29">
        <f t="shared" ref="N147" si="152">I146*O$4*(A147-A146+1)/360</f>
        <v>5646.666666666667</v>
      </c>
      <c r="O147" s="30">
        <f t="shared" si="83"/>
        <v>-844.06678299526629</v>
      </c>
      <c r="P147" s="43"/>
      <c r="Q147" s="44"/>
      <c r="R147" s="33"/>
      <c r="V147" s="45"/>
      <c r="W147" s="7"/>
      <c r="X147" s="7"/>
      <c r="Y147" s="46"/>
      <c r="Z147" s="7"/>
      <c r="AA147" s="7"/>
      <c r="AC147" s="7"/>
    </row>
    <row r="148" spans="1:29">
      <c r="A148" s="18">
        <v>45535</v>
      </c>
      <c r="B148" s="37">
        <f t="shared" si="0"/>
        <v>0</v>
      </c>
      <c r="C148" s="29"/>
      <c r="D148" s="29">
        <v>0</v>
      </c>
      <c r="E148" s="38"/>
      <c r="F148" s="39"/>
      <c r="G148" s="47"/>
      <c r="H148" s="24">
        <f t="shared" si="1"/>
        <v>405389.29319619434</v>
      </c>
      <c r="I148" s="41">
        <f t="shared" si="85"/>
        <v>400000</v>
      </c>
      <c r="J148" s="29">
        <f t="shared" si="86"/>
        <v>2444.4444444444443</v>
      </c>
      <c r="K148" s="42">
        <f t="shared" si="87"/>
        <v>2944.8487517499266</v>
      </c>
      <c r="L148" s="33">
        <f t="shared" si="3"/>
        <v>0</v>
      </c>
      <c r="M148" s="196">
        <f t="shared" si="96"/>
        <v>2731.8812047783481</v>
      </c>
      <c r="N148" s="29">
        <f t="shared" si="100"/>
        <v>2444.4444444444443</v>
      </c>
      <c r="O148" s="30">
        <f t="shared" si="83"/>
        <v>287.43676033390375</v>
      </c>
      <c r="P148" s="43"/>
      <c r="Q148" s="44"/>
      <c r="R148" s="33"/>
      <c r="V148" s="45"/>
      <c r="W148" s="7"/>
      <c r="X148" s="7"/>
      <c r="Y148" s="46"/>
      <c r="Z148" s="7">
        <f t="shared" si="97"/>
        <v>7534.4810884497492</v>
      </c>
      <c r="AA148" s="7"/>
      <c r="AC148" s="7"/>
    </row>
    <row r="149" spans="1:29">
      <c r="A149" s="18">
        <v>45555</v>
      </c>
      <c r="B149" s="37">
        <f t="shared" si="0"/>
        <v>-47577.777777777781</v>
      </c>
      <c r="C149" s="29">
        <v>-40000</v>
      </c>
      <c r="D149" s="29">
        <f t="shared" ref="D149" si="153">-I147*O$4*(A149-A147)/360</f>
        <v>-7577.7777777777774</v>
      </c>
      <c r="E149" s="38"/>
      <c r="F149" s="39"/>
      <c r="G149" s="47"/>
      <c r="H149" s="24">
        <f t="shared" si="1"/>
        <v>362174.950206446</v>
      </c>
      <c r="I149" s="41">
        <f t="shared" si="85"/>
        <v>360000</v>
      </c>
      <c r="J149" s="29">
        <f t="shared" si="86"/>
        <v>0</v>
      </c>
      <c r="K149" s="42">
        <f t="shared" si="87"/>
        <v>2174.950206445998</v>
      </c>
      <c r="L149" s="33">
        <f t="shared" si="3"/>
        <v>0</v>
      </c>
      <c r="M149" s="196">
        <f t="shared" si="94"/>
        <v>4363.4347880294044</v>
      </c>
      <c r="N149" s="29">
        <f t="shared" ref="N149" si="154">I148*O$4*(A149-A148+1)/360</f>
        <v>5133.333333333333</v>
      </c>
      <c r="O149" s="30">
        <f t="shared" si="83"/>
        <v>-769.89854530392859</v>
      </c>
      <c r="P149" s="43"/>
      <c r="Q149" s="44"/>
      <c r="R149" s="33"/>
      <c r="V149" s="45"/>
      <c r="W149" s="7"/>
      <c r="X149" s="7"/>
      <c r="Y149" s="46"/>
      <c r="Z149" s="7"/>
      <c r="AA149" s="7"/>
      <c r="AC149" s="7"/>
    </row>
    <row r="150" spans="1:29">
      <c r="A150" s="18">
        <v>45565</v>
      </c>
      <c r="B150" s="37">
        <f t="shared" si="0"/>
        <v>0</v>
      </c>
      <c r="C150" s="29"/>
      <c r="D150" s="29">
        <v>0</v>
      </c>
      <c r="E150" s="38"/>
      <c r="F150" s="39"/>
      <c r="G150" s="47"/>
      <c r="H150" s="24">
        <f t="shared" si="1"/>
        <v>364426.76916412759</v>
      </c>
      <c r="I150" s="41">
        <f t="shared" si="85"/>
        <v>360000</v>
      </c>
      <c r="J150" s="29">
        <f t="shared" si="86"/>
        <v>1980</v>
      </c>
      <c r="K150" s="42">
        <f t="shared" si="87"/>
        <v>2446.7691641275701</v>
      </c>
      <c r="L150" s="33">
        <f t="shared" si="3"/>
        <v>0</v>
      </c>
      <c r="M150" s="196">
        <f t="shared" si="96"/>
        <v>2251.8189576815721</v>
      </c>
      <c r="N150" s="29">
        <f t="shared" si="100"/>
        <v>1980</v>
      </c>
      <c r="O150" s="30">
        <f t="shared" si="83"/>
        <v>271.8189576815721</v>
      </c>
      <c r="P150" s="43"/>
      <c r="Q150" s="44"/>
      <c r="R150" s="33"/>
      <c r="V150" s="45"/>
      <c r="W150" s="7"/>
      <c r="X150" s="7"/>
      <c r="Y150" s="46"/>
      <c r="Z150" s="7">
        <f t="shared" si="97"/>
        <v>6615.2537457109765</v>
      </c>
      <c r="AA150" s="7"/>
      <c r="AC150" s="7"/>
    </row>
    <row r="151" spans="1:29">
      <c r="A151" s="18">
        <v>45585</v>
      </c>
      <c r="B151" s="37">
        <f t="shared" si="0"/>
        <v>-46600</v>
      </c>
      <c r="C151" s="29">
        <v>-40000</v>
      </c>
      <c r="D151" s="29">
        <f t="shared" ref="D151" si="155">-I149*O$4*(A151-A149)/360</f>
        <v>-6600</v>
      </c>
      <c r="E151" s="38"/>
      <c r="F151" s="39"/>
      <c r="G151" s="47"/>
      <c r="H151" s="24">
        <f t="shared" si="1"/>
        <v>321749.30108331749</v>
      </c>
      <c r="I151" s="41">
        <f t="shared" ref="I151:I167" si="156">I150+C151</f>
        <v>320000</v>
      </c>
      <c r="J151" s="29">
        <f t="shared" ref="J151:J167" si="157">J150+N151+D151</f>
        <v>0</v>
      </c>
      <c r="K151" s="42">
        <f t="shared" ref="K151:K167" si="158">K150+O151</f>
        <v>1749.3010833174962</v>
      </c>
      <c r="L151" s="33">
        <f t="shared" si="3"/>
        <v>0</v>
      </c>
      <c r="M151" s="196">
        <f t="shared" si="94"/>
        <v>3922.5319191899262</v>
      </c>
      <c r="N151" s="29">
        <f t="shared" ref="N151" si="159">I150*O$4*(A151-A150+1)/360</f>
        <v>4620</v>
      </c>
      <c r="O151" s="30">
        <f t="shared" si="83"/>
        <v>-697.46808081007384</v>
      </c>
      <c r="P151" s="43"/>
      <c r="Q151" s="44"/>
      <c r="R151" s="33"/>
      <c r="V151" s="45"/>
      <c r="W151" s="7"/>
      <c r="X151" s="7"/>
      <c r="Y151" s="46"/>
      <c r="Z151" s="7"/>
      <c r="AA151" s="7"/>
      <c r="AC151" s="7"/>
    </row>
    <row r="152" spans="1:29">
      <c r="A152" s="18">
        <v>45596</v>
      </c>
      <c r="B152" s="37">
        <f t="shared" si="0"/>
        <v>0</v>
      </c>
      <c r="C152" s="29"/>
      <c r="D152" s="29">
        <v>0</v>
      </c>
      <c r="E152" s="38"/>
      <c r="F152" s="39"/>
      <c r="G152" s="47"/>
      <c r="H152" s="24">
        <f t="shared" si="1"/>
        <v>323932.25076238322</v>
      </c>
      <c r="I152" s="41">
        <f t="shared" si="156"/>
        <v>320000</v>
      </c>
      <c r="J152" s="29">
        <f t="shared" si="157"/>
        <v>1955.5555555555557</v>
      </c>
      <c r="K152" s="42">
        <f t="shared" si="158"/>
        <v>1976.6952068276355</v>
      </c>
      <c r="L152" s="33">
        <f t="shared" si="3"/>
        <v>0</v>
      </c>
      <c r="M152" s="196">
        <f t="shared" si="96"/>
        <v>2182.9496790656949</v>
      </c>
      <c r="N152" s="29">
        <f t="shared" si="100"/>
        <v>1955.5555555555557</v>
      </c>
      <c r="O152" s="30">
        <f t="shared" si="83"/>
        <v>227.39412351013925</v>
      </c>
      <c r="P152" s="43"/>
      <c r="Q152" s="44"/>
      <c r="R152" s="33"/>
      <c r="V152" s="45"/>
      <c r="W152" s="7"/>
      <c r="X152" s="7"/>
      <c r="Y152" s="46"/>
      <c r="Z152" s="7">
        <f t="shared" si="97"/>
        <v>6105.4815982556211</v>
      </c>
      <c r="AA152" s="7"/>
      <c r="AC152" s="7"/>
    </row>
    <row r="153" spans="1:29">
      <c r="A153" s="18">
        <v>45616</v>
      </c>
      <c r="B153" s="37">
        <f t="shared" si="0"/>
        <v>-46062.222222222219</v>
      </c>
      <c r="C153" s="29">
        <v>-40000</v>
      </c>
      <c r="D153" s="29">
        <f t="shared" ref="D153" si="160">-I151*O$4*(A153-A151)/360</f>
        <v>-6062.2222222222226</v>
      </c>
      <c r="E153" s="38"/>
      <c r="F153" s="39"/>
      <c r="G153" s="47"/>
      <c r="H153" s="24">
        <f t="shared" si="1"/>
        <v>281356.6950004347</v>
      </c>
      <c r="I153" s="41">
        <f t="shared" si="156"/>
        <v>280000</v>
      </c>
      <c r="J153" s="29">
        <f t="shared" si="157"/>
        <v>0</v>
      </c>
      <c r="K153" s="42">
        <f t="shared" si="158"/>
        <v>1356.6950004347068</v>
      </c>
      <c r="L153" s="33">
        <f t="shared" si="3"/>
        <v>0</v>
      </c>
      <c r="M153" s="196">
        <f t="shared" si="94"/>
        <v>3486.6664602737383</v>
      </c>
      <c r="N153" s="29">
        <f t="shared" ref="N153" si="161">I152*O$4*(A153-A152+1)/360</f>
        <v>4106.666666666667</v>
      </c>
      <c r="O153" s="30">
        <f t="shared" si="83"/>
        <v>-620.0002063929287</v>
      </c>
      <c r="P153" s="43"/>
      <c r="Q153" s="44"/>
      <c r="R153" s="33"/>
      <c r="V153" s="45"/>
      <c r="W153" s="7"/>
      <c r="X153" s="7"/>
      <c r="Y153" s="46"/>
      <c r="Z153" s="7"/>
      <c r="AA153" s="7"/>
      <c r="AC153" s="7"/>
    </row>
    <row r="154" spans="1:29">
      <c r="A154" s="18">
        <v>45626</v>
      </c>
      <c r="B154" s="37">
        <f t="shared" si="0"/>
        <v>0</v>
      </c>
      <c r="C154" s="29"/>
      <c r="D154" s="29">
        <v>0</v>
      </c>
      <c r="E154" s="38"/>
      <c r="F154" s="39"/>
      <c r="G154" s="47"/>
      <c r="H154" s="24">
        <f t="shared" si="1"/>
        <v>283106.02730326646</v>
      </c>
      <c r="I154" s="41">
        <f t="shared" si="156"/>
        <v>280000</v>
      </c>
      <c r="J154" s="29">
        <f t="shared" si="157"/>
        <v>1540</v>
      </c>
      <c r="K154" s="42">
        <f t="shared" si="158"/>
        <v>1566.0273032664411</v>
      </c>
      <c r="L154" s="33">
        <f t="shared" si="3"/>
        <v>0</v>
      </c>
      <c r="M154" s="196">
        <f t="shared" si="96"/>
        <v>1749.3323028317343</v>
      </c>
      <c r="N154" s="29">
        <f t="shared" si="100"/>
        <v>1540</v>
      </c>
      <c r="O154" s="30">
        <f t="shared" si="83"/>
        <v>209.3323028317343</v>
      </c>
      <c r="P154" s="43"/>
      <c r="Q154" s="44"/>
      <c r="R154" s="33"/>
      <c r="V154" s="45"/>
      <c r="W154" s="7"/>
      <c r="X154" s="7"/>
      <c r="Y154" s="46"/>
      <c r="Z154" s="7">
        <f t="shared" si="97"/>
        <v>5235.9987631054728</v>
      </c>
      <c r="AA154" s="7"/>
      <c r="AC154" s="7"/>
    </row>
    <row r="155" spans="1:29">
      <c r="A155" s="18">
        <v>45646</v>
      </c>
      <c r="B155" s="37">
        <f t="shared" si="0"/>
        <v>-45133.333333333336</v>
      </c>
      <c r="C155" s="29">
        <v>-40000</v>
      </c>
      <c r="D155" s="29">
        <f t="shared" ref="D155" si="162">-I153*O$4*(A155-A153)/360</f>
        <v>-5133.333333333333</v>
      </c>
      <c r="E155" s="38"/>
      <c r="F155" s="39"/>
      <c r="G155" s="47"/>
      <c r="H155" s="24">
        <f t="shared" si="1"/>
        <v>241019.92464170625</v>
      </c>
      <c r="I155" s="41">
        <f t="shared" si="156"/>
        <v>240000</v>
      </c>
      <c r="J155" s="29">
        <f t="shared" si="157"/>
        <v>0</v>
      </c>
      <c r="K155" s="42">
        <f t="shared" si="158"/>
        <v>1019.924641706242</v>
      </c>
      <c r="L155" s="33">
        <f t="shared" si="3"/>
        <v>0</v>
      </c>
      <c r="M155" s="196">
        <f t="shared" si="94"/>
        <v>3047.2306717731344</v>
      </c>
      <c r="N155" s="29">
        <f t="shared" ref="N155" si="163">I154*O$4*(A155-A154+1)/360</f>
        <v>3593.3333333333335</v>
      </c>
      <c r="O155" s="30">
        <f t="shared" si="83"/>
        <v>-546.10266156019907</v>
      </c>
      <c r="P155" s="43"/>
      <c r="Q155" s="44"/>
      <c r="R155" s="33"/>
      <c r="V155" s="45"/>
      <c r="W155" s="7"/>
      <c r="X155" s="7"/>
      <c r="Y155" s="46"/>
      <c r="Z155" s="7"/>
      <c r="AA155" s="7"/>
      <c r="AC155" s="7"/>
    </row>
    <row r="156" spans="1:29">
      <c r="A156" s="18">
        <v>45657</v>
      </c>
      <c r="B156" s="37">
        <f t="shared" si="0"/>
        <v>0</v>
      </c>
      <c r="C156" s="29"/>
      <c r="D156" s="29">
        <v>0</v>
      </c>
      <c r="E156" s="38"/>
      <c r="F156" s="39"/>
      <c r="G156" s="47"/>
      <c r="H156" s="24">
        <f t="shared" si="1"/>
        <v>242655.15544212624</v>
      </c>
      <c r="I156" s="41">
        <f t="shared" si="156"/>
        <v>240000</v>
      </c>
      <c r="J156" s="29">
        <f t="shared" si="157"/>
        <v>1466.6666666666667</v>
      </c>
      <c r="K156" s="42">
        <f t="shared" si="158"/>
        <v>1188.4887754595809</v>
      </c>
      <c r="L156" s="33">
        <f t="shared" si="3"/>
        <v>0</v>
      </c>
      <c r="M156" s="196">
        <f t="shared" si="96"/>
        <v>1635.2308004200056</v>
      </c>
      <c r="N156" s="29">
        <f t="shared" si="100"/>
        <v>1466.6666666666667</v>
      </c>
      <c r="O156" s="30">
        <f t="shared" si="83"/>
        <v>168.56413375333887</v>
      </c>
      <c r="P156" s="43"/>
      <c r="Q156" s="44"/>
      <c r="R156" s="33"/>
      <c r="V156" s="45"/>
      <c r="W156" s="7"/>
      <c r="X156" s="7"/>
      <c r="Y156" s="46"/>
      <c r="Z156" s="7">
        <f t="shared" si="97"/>
        <v>4682.4614721931403</v>
      </c>
      <c r="AA156" s="7"/>
      <c r="AC156" s="7"/>
    </row>
    <row r="157" spans="1:29">
      <c r="A157" s="18">
        <v>45677</v>
      </c>
      <c r="B157" s="37">
        <f t="shared" si="0"/>
        <v>-44546.666666666664</v>
      </c>
      <c r="C157" s="29">
        <v>-40000</v>
      </c>
      <c r="D157" s="29">
        <f t="shared" ref="D157" si="164">-I155*O$4*(A157-A155)/360</f>
        <v>-4546.666666666667</v>
      </c>
      <c r="E157" s="38"/>
      <c r="F157" s="39"/>
      <c r="G157" s="47"/>
      <c r="H157" s="24">
        <f t="shared" si="1"/>
        <v>200720.32378077737</v>
      </c>
      <c r="I157" s="41">
        <f t="shared" si="156"/>
        <v>200000</v>
      </c>
      <c r="J157" s="29">
        <f t="shared" si="157"/>
        <v>0</v>
      </c>
      <c r="K157" s="42">
        <f t="shared" si="158"/>
        <v>720.32378077736826</v>
      </c>
      <c r="L157" s="33">
        <f t="shared" si="3"/>
        <v>0</v>
      </c>
      <c r="M157" s="196">
        <f t="shared" ref="M157:M165" si="165">H156*((100%+$O$8)^(A157-A156-1)-100%)</f>
        <v>2611.8350053177874</v>
      </c>
      <c r="N157" s="29">
        <f t="shared" ref="N157" si="166">I156*O$4*(A157-A156+1)/360</f>
        <v>3080</v>
      </c>
      <c r="O157" s="30">
        <f t="shared" si="83"/>
        <v>-468.16499468221264</v>
      </c>
      <c r="P157" s="43"/>
      <c r="Q157" s="44"/>
      <c r="R157" s="33"/>
      <c r="V157" s="45"/>
      <c r="W157" s="7"/>
      <c r="X157" s="7"/>
      <c r="Y157" s="46"/>
      <c r="Z157" s="7"/>
      <c r="AA157" s="7"/>
      <c r="AC157" s="7"/>
    </row>
    <row r="158" spans="1:29">
      <c r="A158" s="18">
        <v>45688</v>
      </c>
      <c r="B158" s="37">
        <f t="shared" si="0"/>
        <v>0</v>
      </c>
      <c r="C158" s="29"/>
      <c r="D158" s="29">
        <v>0</v>
      </c>
      <c r="E158" s="38"/>
      <c r="F158" s="39"/>
      <c r="G158" s="47"/>
      <c r="H158" s="24">
        <f t="shared" si="1"/>
        <v>202082.13673547201</v>
      </c>
      <c r="I158" s="41">
        <f t="shared" si="156"/>
        <v>200000</v>
      </c>
      <c r="J158" s="29">
        <f t="shared" si="157"/>
        <v>1222.2222222222222</v>
      </c>
      <c r="K158" s="42">
        <f t="shared" si="158"/>
        <v>859.91451324979357</v>
      </c>
      <c r="L158" s="33">
        <f t="shared" si="3"/>
        <v>0</v>
      </c>
      <c r="M158" s="196">
        <f t="shared" ref="M158:M166" si="167">H157*((100%+$O$8)^(A158-A157+1)-100%)</f>
        <v>1361.8129546946475</v>
      </c>
      <c r="N158" s="29">
        <f t="shared" si="100"/>
        <v>1222.2222222222222</v>
      </c>
      <c r="O158" s="30">
        <f t="shared" si="83"/>
        <v>139.59073247242532</v>
      </c>
      <c r="P158" s="43"/>
      <c r="Q158" s="44"/>
      <c r="R158" s="33"/>
      <c r="V158" s="45"/>
      <c r="W158" s="7"/>
      <c r="X158" s="7"/>
      <c r="Y158" s="46"/>
      <c r="Z158" s="7">
        <f t="shared" ref="Z158:Z166" si="168">M158+M157</f>
        <v>3973.6479600124349</v>
      </c>
      <c r="AA158" s="7"/>
      <c r="AC158" s="7"/>
    </row>
    <row r="159" spans="1:29">
      <c r="A159" s="18">
        <v>45708</v>
      </c>
      <c r="B159" s="37">
        <f t="shared" si="0"/>
        <v>-43788.888888888891</v>
      </c>
      <c r="C159" s="29">
        <v>-40000</v>
      </c>
      <c r="D159" s="29">
        <f t="shared" ref="D159" si="169">-I157*O$4*(A159-A157)/360</f>
        <v>-3788.8888888888887</v>
      </c>
      <c r="E159" s="38"/>
      <c r="F159" s="39"/>
      <c r="G159" s="47"/>
      <c r="H159" s="24">
        <f t="shared" si="1"/>
        <v>160468.37244969918</v>
      </c>
      <c r="I159" s="41">
        <f t="shared" si="156"/>
        <v>160000</v>
      </c>
      <c r="J159" s="29">
        <f t="shared" si="157"/>
        <v>0</v>
      </c>
      <c r="K159" s="42">
        <f t="shared" si="158"/>
        <v>468.37244969919016</v>
      </c>
      <c r="L159" s="33">
        <f t="shared" si="3"/>
        <v>0</v>
      </c>
      <c r="M159" s="196">
        <f t="shared" si="165"/>
        <v>2175.1246031160631</v>
      </c>
      <c r="N159" s="29">
        <f t="shared" ref="N159" si="170">I158*O$4*(A159-A158+1)/360</f>
        <v>2566.6666666666665</v>
      </c>
      <c r="O159" s="30">
        <f t="shared" si="83"/>
        <v>-391.54206355060342</v>
      </c>
      <c r="P159" s="43"/>
      <c r="Q159" s="44"/>
      <c r="R159" s="33"/>
      <c r="V159" s="45"/>
      <c r="W159" s="7"/>
      <c r="X159" s="7"/>
      <c r="Y159" s="46"/>
      <c r="Z159" s="7"/>
      <c r="AA159" s="7"/>
      <c r="AC159" s="7"/>
    </row>
    <row r="160" spans="1:29">
      <c r="A160" s="18">
        <v>45716</v>
      </c>
      <c r="B160" s="37">
        <f t="shared" si="0"/>
        <v>0</v>
      </c>
      <c r="C160" s="29"/>
      <c r="D160" s="29">
        <v>0</v>
      </c>
      <c r="E160" s="38"/>
      <c r="F160" s="39"/>
      <c r="G160" s="47"/>
      <c r="H160" s="24">
        <f t="shared" si="1"/>
        <v>161284.22070578512</v>
      </c>
      <c r="I160" s="41">
        <f t="shared" si="156"/>
        <v>160000</v>
      </c>
      <c r="J160" s="29">
        <f t="shared" si="157"/>
        <v>684.44444444444446</v>
      </c>
      <c r="K160" s="42">
        <f t="shared" si="158"/>
        <v>599.77626134067441</v>
      </c>
      <c r="L160" s="33">
        <f t="shared" si="3"/>
        <v>0</v>
      </c>
      <c r="M160" s="196">
        <f t="shared" si="167"/>
        <v>815.84825608592871</v>
      </c>
      <c r="N160" s="29">
        <f t="shared" ref="N160:N166" si="171">I159*O$4*(A160-A159-1)/360</f>
        <v>684.44444444444446</v>
      </c>
      <c r="O160" s="30">
        <f t="shared" si="83"/>
        <v>131.40381164148425</v>
      </c>
      <c r="P160" s="43"/>
      <c r="Q160" s="44"/>
      <c r="R160" s="33"/>
      <c r="V160" s="45"/>
      <c r="W160" s="7"/>
      <c r="X160" s="7"/>
      <c r="Y160" s="46"/>
      <c r="Z160" s="7">
        <f t="shared" si="168"/>
        <v>2990.9728592019919</v>
      </c>
      <c r="AA160" s="7"/>
      <c r="AC160" s="7"/>
    </row>
    <row r="161" spans="1:29">
      <c r="A161" s="18">
        <v>45736</v>
      </c>
      <c r="B161" s="37">
        <f t="shared" si="0"/>
        <v>-42737.777777777781</v>
      </c>
      <c r="C161" s="29">
        <v>-40000</v>
      </c>
      <c r="D161" s="29">
        <f t="shared" ref="D161" si="172">-I159*O$4*(A161-A159)/360</f>
        <v>-2737.7777777777778</v>
      </c>
      <c r="E161" s="38"/>
      <c r="F161" s="39"/>
      <c r="G161" s="47"/>
      <c r="H161" s="24">
        <f t="shared" si="1"/>
        <v>120282.43643153395</v>
      </c>
      <c r="I161" s="41">
        <f t="shared" si="156"/>
        <v>120000</v>
      </c>
      <c r="J161" s="29">
        <f t="shared" si="157"/>
        <v>0</v>
      </c>
      <c r="K161" s="42">
        <f t="shared" si="158"/>
        <v>282.43643153394532</v>
      </c>
      <c r="L161" s="33">
        <f t="shared" si="3"/>
        <v>0</v>
      </c>
      <c r="M161" s="196">
        <f t="shared" si="165"/>
        <v>1735.9935035266044</v>
      </c>
      <c r="N161" s="29">
        <f t="shared" ref="N161" si="173">I160*O$4*(A161-A160+1)/360</f>
        <v>2053.3333333333335</v>
      </c>
      <c r="O161" s="30">
        <f t="shared" si="83"/>
        <v>-317.33982980672909</v>
      </c>
      <c r="P161" s="43"/>
      <c r="Q161" s="44"/>
      <c r="R161" s="33"/>
      <c r="V161" s="45"/>
      <c r="W161" s="7"/>
      <c r="X161" s="7"/>
      <c r="Y161" s="46"/>
      <c r="Z161" s="7"/>
      <c r="AA161" s="7"/>
      <c r="AC161" s="7"/>
    </row>
    <row r="162" spans="1:29">
      <c r="A162" s="18">
        <v>45747</v>
      </c>
      <c r="B162" s="37">
        <f t="shared" si="0"/>
        <v>0</v>
      </c>
      <c r="C162" s="29"/>
      <c r="D162" s="29">
        <v>0</v>
      </c>
      <c r="E162" s="38"/>
      <c r="F162" s="39"/>
      <c r="G162" s="47"/>
      <c r="H162" s="24">
        <f t="shared" si="1"/>
        <v>121098.50815296858</v>
      </c>
      <c r="I162" s="41">
        <f t="shared" si="156"/>
        <v>120000</v>
      </c>
      <c r="J162" s="29">
        <f t="shared" si="157"/>
        <v>733.33333333333337</v>
      </c>
      <c r="K162" s="42">
        <f t="shared" si="158"/>
        <v>365.17481963525722</v>
      </c>
      <c r="L162" s="33">
        <f t="shared" si="3"/>
        <v>0</v>
      </c>
      <c r="M162" s="196">
        <f t="shared" si="167"/>
        <v>816.07172143464527</v>
      </c>
      <c r="N162" s="29">
        <f t="shared" si="171"/>
        <v>733.33333333333337</v>
      </c>
      <c r="O162" s="30">
        <f t="shared" si="83"/>
        <v>82.738388101311898</v>
      </c>
      <c r="P162" s="43">
        <v>0</v>
      </c>
      <c r="Q162" s="44">
        <f>M162/H30</f>
        <v>2.847098117544742E-4</v>
      </c>
      <c r="R162" s="33"/>
      <c r="S162" s="2">
        <f>N31+N162-D162</f>
        <v>32780</v>
      </c>
      <c r="T162" s="7">
        <f>O162+O31</f>
        <v>-1112.0144115976036</v>
      </c>
      <c r="U162" s="7">
        <f>M31+M162</f>
        <v>31667.985588402396</v>
      </c>
      <c r="V162" s="45" t="e">
        <f>N162-#REF!</f>
        <v>#REF!</v>
      </c>
      <c r="W162" s="7" t="e">
        <f>J162-#REF!</f>
        <v>#REF!</v>
      </c>
      <c r="X162" s="7"/>
      <c r="Z162" s="7">
        <f t="shared" si="168"/>
        <v>2552.0652249612494</v>
      </c>
      <c r="AA162" s="7"/>
      <c r="AC162" s="7"/>
    </row>
    <row r="163" spans="1:29">
      <c r="A163" s="18">
        <v>45767</v>
      </c>
      <c r="B163" s="37">
        <f t="shared" si="0"/>
        <v>-42273.333333333336</v>
      </c>
      <c r="C163" s="29">
        <v>-40000</v>
      </c>
      <c r="D163" s="29">
        <f t="shared" ref="D163" si="174">-I161*O$4*(A163-A161)/360</f>
        <v>-2273.3333333333335</v>
      </c>
      <c r="E163" s="38"/>
      <c r="F163" s="39"/>
      <c r="G163" s="47"/>
      <c r="H163" s="24">
        <f t="shared" si="1"/>
        <v>80128.626716667466</v>
      </c>
      <c r="I163" s="41">
        <f t="shared" si="156"/>
        <v>80000</v>
      </c>
      <c r="J163" s="29">
        <f t="shared" si="157"/>
        <v>0</v>
      </c>
      <c r="K163" s="42">
        <f t="shared" si="158"/>
        <v>128.62671666746553</v>
      </c>
      <c r="L163" s="33">
        <f t="shared" si="3"/>
        <v>0</v>
      </c>
      <c r="M163" s="196">
        <f t="shared" si="165"/>
        <v>1303.4518970322083</v>
      </c>
      <c r="N163" s="29">
        <f t="shared" ref="N163" si="175">I162*O$4*(A163-A162+1)/360</f>
        <v>1540</v>
      </c>
      <c r="O163" s="30">
        <f t="shared" si="83"/>
        <v>-236.54810296779169</v>
      </c>
      <c r="P163" s="43">
        <v>0</v>
      </c>
      <c r="Q163" s="44"/>
      <c r="R163" s="33"/>
      <c r="V163" s="45" t="e">
        <f>N163-#REF!</f>
        <v>#REF!</v>
      </c>
      <c r="W163" s="7" t="e">
        <f>J163-#REF!</f>
        <v>#REF!</v>
      </c>
      <c r="X163" s="7">
        <f>ROUND((O162+O163),2)</f>
        <v>-153.81</v>
      </c>
      <c r="Y163" s="46" t="s">
        <v>28</v>
      </c>
      <c r="Z163" s="7"/>
      <c r="AA163" s="7"/>
      <c r="AC163" s="7"/>
    </row>
    <row r="164" spans="1:29">
      <c r="A164" s="18">
        <v>45777</v>
      </c>
      <c r="B164" s="37">
        <f t="shared" si="0"/>
        <v>0</v>
      </c>
      <c r="C164" s="29"/>
      <c r="D164" s="29">
        <v>0</v>
      </c>
      <c r="E164" s="38"/>
      <c r="F164" s="39"/>
      <c r="G164" s="47"/>
      <c r="H164" s="24">
        <f t="shared" si="1"/>
        <v>80626.825613611421</v>
      </c>
      <c r="I164" s="41">
        <f t="shared" si="156"/>
        <v>80000</v>
      </c>
      <c r="J164" s="29">
        <f t="shared" si="157"/>
        <v>440</v>
      </c>
      <c r="K164" s="42">
        <f t="shared" si="158"/>
        <v>186.82561361141688</v>
      </c>
      <c r="L164" s="33">
        <f t="shared" si="3"/>
        <v>0</v>
      </c>
      <c r="M164" s="196">
        <f t="shared" si="167"/>
        <v>498.19889694395135</v>
      </c>
      <c r="N164" s="29">
        <f t="shared" si="171"/>
        <v>440</v>
      </c>
      <c r="O164" s="30">
        <f t="shared" si="83"/>
        <v>58.198896943951354</v>
      </c>
      <c r="P164" s="43">
        <v>0</v>
      </c>
      <c r="Q164" s="44">
        <f>M164/H162</f>
        <v>4.1139969809920289E-3</v>
      </c>
      <c r="R164" s="33"/>
      <c r="S164" s="2">
        <f>N163+N164-D164</f>
        <v>1980</v>
      </c>
      <c r="T164" s="7">
        <f>O164+O163</f>
        <v>-178.34920602384034</v>
      </c>
      <c r="U164" s="7">
        <f>M163+M164</f>
        <v>1801.6507939761595</v>
      </c>
      <c r="V164" s="45" t="e">
        <f>N164-#REF!</f>
        <v>#REF!</v>
      </c>
      <c r="W164" s="7" t="e">
        <f>J164-#REF!</f>
        <v>#REF!</v>
      </c>
      <c r="X164" s="7"/>
      <c r="Z164" s="7">
        <f t="shared" si="168"/>
        <v>1801.6507939761595</v>
      </c>
      <c r="AA164" s="7"/>
      <c r="AC164" s="7"/>
    </row>
    <row r="165" spans="1:29">
      <c r="A165" s="18">
        <v>45797</v>
      </c>
      <c r="B165" s="37">
        <f t="shared" si="0"/>
        <v>-41466.666666666664</v>
      </c>
      <c r="C165" s="29">
        <v>-40000</v>
      </c>
      <c r="D165" s="29">
        <f t="shared" ref="D165" si="176">-I163*O$4*(A165-A163)/360</f>
        <v>-1466.6666666666667</v>
      </c>
      <c r="E165" s="38"/>
      <c r="F165" s="39"/>
      <c r="G165" s="47"/>
      <c r="H165" s="24">
        <f t="shared" si="1"/>
        <v>40027.991180393867</v>
      </c>
      <c r="I165" s="41">
        <f t="shared" si="156"/>
        <v>40000</v>
      </c>
      <c r="J165" s="29">
        <f t="shared" si="157"/>
        <v>0</v>
      </c>
      <c r="K165" s="42">
        <f t="shared" si="158"/>
        <v>27.991180393867353</v>
      </c>
      <c r="L165" s="33">
        <f t="shared" si="3"/>
        <v>0</v>
      </c>
      <c r="M165" s="196">
        <f t="shared" si="165"/>
        <v>867.83223344911721</v>
      </c>
      <c r="N165" s="29">
        <f t="shared" ref="N165" si="177">I164*O$4*(A165-A164+1)/360</f>
        <v>1026.6666666666667</v>
      </c>
      <c r="O165" s="30">
        <f t="shared" si="83"/>
        <v>-158.83443321754953</v>
      </c>
      <c r="P165" s="43">
        <v>0</v>
      </c>
      <c r="Q165" s="44"/>
      <c r="R165" s="33"/>
      <c r="V165" s="45" t="e">
        <f>N165-#REF!</f>
        <v>#REF!</v>
      </c>
      <c r="W165" s="7" t="e">
        <f>J165-#REF!</f>
        <v>#REF!</v>
      </c>
      <c r="X165" s="7">
        <f>ROUND((O164+O165),2)</f>
        <v>-100.64</v>
      </c>
      <c r="Y165" s="46" t="s">
        <v>28</v>
      </c>
      <c r="Z165" s="7"/>
      <c r="AA165" s="7"/>
      <c r="AC165" s="7"/>
    </row>
    <row r="166" spans="1:29">
      <c r="A166" s="18">
        <v>45808</v>
      </c>
      <c r="B166" s="37">
        <f t="shared" si="0"/>
        <v>0</v>
      </c>
      <c r="C166" s="29"/>
      <c r="D166" s="29">
        <v>0</v>
      </c>
      <c r="E166" s="38"/>
      <c r="F166" s="39"/>
      <c r="G166" s="47"/>
      <c r="H166" s="24">
        <f t="shared" si="1"/>
        <v>40299.566255170044</v>
      </c>
      <c r="I166" s="41">
        <f t="shared" si="156"/>
        <v>40000</v>
      </c>
      <c r="J166" s="29">
        <f t="shared" si="157"/>
        <v>244.44444444444446</v>
      </c>
      <c r="K166" s="42">
        <f t="shared" si="158"/>
        <v>55.121810725601847</v>
      </c>
      <c r="L166" s="33">
        <f t="shared" si="3"/>
        <v>0</v>
      </c>
      <c r="M166" s="196">
        <f t="shared" si="167"/>
        <v>271.57507477617895</v>
      </c>
      <c r="N166" s="29">
        <f t="shared" si="171"/>
        <v>244.44444444444446</v>
      </c>
      <c r="O166" s="30">
        <f t="shared" si="83"/>
        <v>27.130630331734494</v>
      </c>
      <c r="P166" s="43">
        <v>0</v>
      </c>
      <c r="Q166" s="44">
        <f>M166/H164</f>
        <v>3.3682967512283116E-3</v>
      </c>
      <c r="R166" s="33"/>
      <c r="S166" s="2">
        <f>N165+N166-D166</f>
        <v>1271.1111111111113</v>
      </c>
      <c r="T166" s="7">
        <f>O166+O165</f>
        <v>-131.70380288581504</v>
      </c>
      <c r="U166" s="7">
        <f>M165+M166</f>
        <v>1139.4073082252962</v>
      </c>
      <c r="V166" s="45" t="e">
        <f>N166-#REF!</f>
        <v>#REF!</v>
      </c>
      <c r="W166" s="7" t="e">
        <f>J166-#REF!</f>
        <v>#REF!</v>
      </c>
      <c r="X166" s="7"/>
      <c r="Z166" s="7">
        <f t="shared" si="168"/>
        <v>1139.4073082252962</v>
      </c>
      <c r="AA166" s="7"/>
      <c r="AC166" s="7"/>
    </row>
    <row r="167" spans="1:29" ht="15.75" thickBot="1">
      <c r="A167" s="18">
        <v>45828</v>
      </c>
      <c r="B167" s="37">
        <f t="shared" si="0"/>
        <v>-40733.333333333336</v>
      </c>
      <c r="C167" s="29">
        <v>-40000</v>
      </c>
      <c r="D167" s="29">
        <f>-I165*O$4*(A167-A165-1)/360</f>
        <v>-733.33333333333337</v>
      </c>
      <c r="E167" s="38"/>
      <c r="F167" s="39"/>
      <c r="G167" s="47"/>
      <c r="H167" s="24">
        <f t="shared" si="1"/>
        <v>2.7605938157648779E-7</v>
      </c>
      <c r="I167" s="41">
        <f t="shared" si="156"/>
        <v>0</v>
      </c>
      <c r="J167" s="29">
        <f t="shared" si="157"/>
        <v>0</v>
      </c>
      <c r="K167" s="42">
        <f t="shared" si="158"/>
        <v>2.7605938157648779E-7</v>
      </c>
      <c r="L167" s="33">
        <f t="shared" si="3"/>
        <v>0</v>
      </c>
      <c r="M167" s="196">
        <f>H166*((100%+$O$8)^(A167-A166-1)-100%)</f>
        <v>433.76707843934645</v>
      </c>
      <c r="N167" s="29">
        <f>I166*O$4*(A167-A166)/360</f>
        <v>488.88888888888891</v>
      </c>
      <c r="O167" s="30">
        <f>M167-N167</f>
        <v>-55.121810449542465</v>
      </c>
      <c r="P167" s="43">
        <v>0</v>
      </c>
      <c r="Q167" s="44"/>
      <c r="R167" s="33"/>
      <c r="V167" s="45" t="e">
        <f>N167-#REF!</f>
        <v>#REF!</v>
      </c>
      <c r="W167" s="7" t="e">
        <f>J167-#REF!</f>
        <v>#REF!</v>
      </c>
      <c r="X167" s="7">
        <f>ROUND((O166+O167),2)</f>
        <v>-27.99</v>
      </c>
      <c r="Y167" s="46" t="s">
        <v>28</v>
      </c>
      <c r="Z167" s="7"/>
      <c r="AA167" s="7"/>
      <c r="AC167" s="7"/>
    </row>
    <row r="168" spans="1:29" ht="16.5" thickTop="1" thickBot="1">
      <c r="A168" s="48" t="s">
        <v>29</v>
      </c>
      <c r="B168" s="49">
        <f>SUM(B20:B167)</f>
        <v>-4929724.4444444459</v>
      </c>
      <c r="C168" s="49">
        <f>SUM(C20:C167)</f>
        <v>-2920000</v>
      </c>
      <c r="D168" s="49">
        <f>SUM(D20:D167)</f>
        <v>-2009724.4444444445</v>
      </c>
      <c r="E168" s="50" t="s">
        <v>30</v>
      </c>
      <c r="F168" s="51" t="s">
        <v>30</v>
      </c>
      <c r="G168" s="52"/>
      <c r="H168" s="53" t="s">
        <v>30</v>
      </c>
      <c r="I168" s="54" t="s">
        <v>30</v>
      </c>
      <c r="J168" s="55" t="s">
        <v>30</v>
      </c>
      <c r="K168" s="56" t="s">
        <v>30</v>
      </c>
      <c r="L168" s="54" t="s">
        <v>30</v>
      </c>
      <c r="M168" s="197">
        <f>SUM(M21:M167)</f>
        <v>1914254.192972963</v>
      </c>
      <c r="N168" s="58">
        <f>SUM(N21:N167)</f>
        <v>2009724.4444444447</v>
      </c>
      <c r="O168" s="59">
        <f>SUM(O21:O167)</f>
        <v>-95470.251471480937</v>
      </c>
      <c r="P168" s="60">
        <f>SUM(P16:P167)</f>
        <v>0</v>
      </c>
      <c r="Q168" s="61" t="s">
        <v>24</v>
      </c>
      <c r="R168" s="33"/>
      <c r="S168" s="62">
        <f>SUM(S13:S167)</f>
        <v>346862.22222222225</v>
      </c>
      <c r="X168" s="7"/>
      <c r="Z168" s="7"/>
      <c r="AA168" s="7"/>
    </row>
    <row r="169" spans="1:29">
      <c r="C169" s="7"/>
      <c r="D169" s="7"/>
      <c r="N169" s="63"/>
      <c r="O169" s="64"/>
      <c r="P169" s="65"/>
      <c r="Z169" s="7"/>
    </row>
    <row r="170" spans="1:29">
      <c r="A170" s="189" t="s">
        <v>56</v>
      </c>
      <c r="H170" s="190">
        <f>H167</f>
        <v>2.7605938157648779E-7</v>
      </c>
      <c r="K170" s="190">
        <f>K167</f>
        <v>2.7605938157648779E-7</v>
      </c>
      <c r="M170" s="190">
        <f>M168-(N168+O168)</f>
        <v>0</v>
      </c>
      <c r="N170" s="190">
        <f>N168+D168</f>
        <v>0</v>
      </c>
      <c r="O170" s="190">
        <f>O168+K17+O19</f>
        <v>2.7607893571257591E-7</v>
      </c>
      <c r="P170" s="65"/>
      <c r="Z170" s="7"/>
    </row>
    <row r="171" spans="1:29">
      <c r="N171" s="66"/>
      <c r="O171" s="66"/>
      <c r="P171" s="65"/>
      <c r="Z171" s="7"/>
    </row>
    <row r="172" spans="1:29" ht="15.75" thickBot="1">
      <c r="N172" s="65"/>
      <c r="O172" s="65"/>
      <c r="P172" s="65"/>
      <c r="Z172" s="7"/>
    </row>
    <row r="173" spans="1:29" ht="15.75" thickBot="1">
      <c r="E173" s="67"/>
      <c r="G173" s="68" t="e">
        <f>#REF!-#REF!</f>
        <v>#REF!</v>
      </c>
      <c r="N173" s="65"/>
      <c r="O173" s="65"/>
      <c r="P173" s="65"/>
    </row>
    <row r="174" spans="1:29">
      <c r="G174" s="45" t="e">
        <f>ROUND(NPV(#REF!,#REF!),0)-ROUND(NPV(#REF!,#REF!),0)</f>
        <v>#REF!</v>
      </c>
    </row>
    <row r="175" spans="1:29">
      <c r="G175" s="45" t="e">
        <f>ROUND(NPV(#REF!,#REF!)-NPV(#REF!,#REF!),0)</f>
        <v>#REF!</v>
      </c>
    </row>
    <row r="176" spans="1:29">
      <c r="G176" s="45"/>
    </row>
  </sheetData>
  <mergeCells count="23">
    <mergeCell ref="Q9:Q12"/>
    <mergeCell ref="X9:Y12"/>
    <mergeCell ref="G11:G12"/>
    <mergeCell ref="H11:H12"/>
    <mergeCell ref="N11:N12"/>
    <mergeCell ref="O11:O12"/>
    <mergeCell ref="P11:P12"/>
    <mergeCell ref="N2:P2"/>
    <mergeCell ref="A9:A12"/>
    <mergeCell ref="B9:E10"/>
    <mergeCell ref="F9:F12"/>
    <mergeCell ref="H9:L10"/>
    <mergeCell ref="M9:O10"/>
    <mergeCell ref="P9:P10"/>
    <mergeCell ref="L11:L12"/>
    <mergeCell ref="I11:I12"/>
    <mergeCell ref="J11:J12"/>
    <mergeCell ref="K11:K12"/>
    <mergeCell ref="B2:D2"/>
    <mergeCell ref="H2:L2"/>
    <mergeCell ref="C11:C12"/>
    <mergeCell ref="D11:D12"/>
    <mergeCell ref="E11:E12"/>
  </mergeCells>
  <pageMargins left="0.7" right="0.7" top="0.75" bottom="0.75" header="0.3" footer="0.3"/>
  <pageSetup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AC176"/>
  <sheetViews>
    <sheetView topLeftCell="A145" workbookViewId="0">
      <selection activeCell="D167" sqref="D167"/>
    </sheetView>
  </sheetViews>
  <sheetFormatPr defaultRowHeight="15"/>
  <cols>
    <col min="1" max="1" width="12" customWidth="1"/>
    <col min="2" max="3" width="14.7109375" customWidth="1"/>
    <col min="4" max="4" width="13.140625" customWidth="1"/>
    <col min="5" max="5" width="10" customWidth="1"/>
    <col min="6" max="6" width="9.42578125" hidden="1" customWidth="1"/>
    <col min="7" max="7" width="13.85546875" hidden="1" customWidth="1"/>
    <col min="8" max="8" width="13.5703125" customWidth="1"/>
    <col min="9" max="9" width="12.7109375" customWidth="1"/>
    <col min="10" max="10" width="13.42578125" customWidth="1"/>
    <col min="11" max="11" width="12.7109375" customWidth="1"/>
    <col min="12" max="12" width="9.28515625" hidden="1" customWidth="1"/>
    <col min="13" max="13" width="12.28515625" customWidth="1"/>
    <col min="14" max="14" width="16.5703125" customWidth="1"/>
    <col min="15" max="15" width="14.140625" customWidth="1"/>
    <col min="16" max="16" width="11.42578125" hidden="1" customWidth="1"/>
    <col min="17" max="17" width="11.28515625" hidden="1" customWidth="1"/>
    <col min="18" max="18" width="0.7109375" customWidth="1"/>
    <col min="19" max="19" width="12.140625" style="2" hidden="1" customWidth="1"/>
    <col min="20" max="21" width="0" hidden="1" customWidth="1"/>
    <col min="22" max="22" width="11.28515625" hidden="1" customWidth="1"/>
    <col min="23" max="24" width="0" hidden="1" customWidth="1"/>
    <col min="25" max="25" width="49.28515625" hidden="1" customWidth="1"/>
    <col min="26" max="26" width="13.5703125" customWidth="1"/>
    <col min="27" max="27" width="16" customWidth="1"/>
    <col min="29" max="29" width="11.7109375" bestFit="1" customWidth="1"/>
  </cols>
  <sheetData>
    <row r="2" spans="1:29">
      <c r="B2" s="199"/>
      <c r="C2" s="199"/>
      <c r="D2" s="199"/>
      <c r="H2" s="199"/>
      <c r="I2" s="199"/>
      <c r="J2" s="199"/>
      <c r="K2" s="199"/>
      <c r="L2" s="199"/>
      <c r="N2" s="199" t="s">
        <v>0</v>
      </c>
      <c r="O2" s="199"/>
      <c r="P2" s="199"/>
      <c r="Q2" s="1"/>
    </row>
    <row r="3" spans="1:29" ht="4.5" customHeight="1"/>
    <row r="4" spans="1:29">
      <c r="B4" s="3"/>
      <c r="N4" s="3" t="s">
        <v>1</v>
      </c>
      <c r="O4" s="4">
        <v>0.25</v>
      </c>
    </row>
    <row r="5" spans="1:29" ht="4.5" customHeight="1">
      <c r="B5" s="3"/>
    </row>
    <row r="6" spans="1:29">
      <c r="B6" s="3"/>
      <c r="N6" s="3" t="s">
        <v>51</v>
      </c>
      <c r="O6" s="4">
        <v>0.22834642529487614</v>
      </c>
      <c r="S6" s="5"/>
      <c r="T6" s="6"/>
    </row>
    <row r="7" spans="1:29" ht="4.5" customHeight="1">
      <c r="B7" s="3"/>
    </row>
    <row r="8" spans="1:29" ht="15.75" thickBot="1">
      <c r="C8" s="7"/>
      <c r="D8" s="7"/>
      <c r="H8" s="7"/>
      <c r="I8" s="7"/>
      <c r="N8" s="3" t="s">
        <v>52</v>
      </c>
      <c r="O8" s="191">
        <v>5.6363520794988631E-4</v>
      </c>
    </row>
    <row r="9" spans="1:29" ht="13.5" customHeight="1" thickTop="1">
      <c r="A9" s="200" t="s">
        <v>3</v>
      </c>
      <c r="B9" s="203" t="s">
        <v>4</v>
      </c>
      <c r="C9" s="204"/>
      <c r="D9" s="204"/>
      <c r="E9" s="205"/>
      <c r="F9" s="209" t="s">
        <v>5</v>
      </c>
      <c r="G9" s="188"/>
      <c r="H9" s="212" t="s">
        <v>53</v>
      </c>
      <c r="I9" s="213"/>
      <c r="J9" s="213"/>
      <c r="K9" s="213"/>
      <c r="L9" s="214"/>
      <c r="M9" s="218" t="s">
        <v>54</v>
      </c>
      <c r="N9" s="219"/>
      <c r="O9" s="220"/>
      <c r="P9" s="224" t="s">
        <v>8</v>
      </c>
      <c r="Q9" s="232" t="s">
        <v>9</v>
      </c>
      <c r="R9" s="9"/>
      <c r="X9" s="235" t="s">
        <v>10</v>
      </c>
      <c r="Y9" s="235"/>
    </row>
    <row r="10" spans="1:29" ht="13.5" customHeight="1">
      <c r="A10" s="201"/>
      <c r="B10" s="206"/>
      <c r="C10" s="207"/>
      <c r="D10" s="207"/>
      <c r="E10" s="208"/>
      <c r="F10" s="210"/>
      <c r="G10" s="187"/>
      <c r="H10" s="215"/>
      <c r="I10" s="216"/>
      <c r="J10" s="216"/>
      <c r="K10" s="216"/>
      <c r="L10" s="217"/>
      <c r="M10" s="221"/>
      <c r="N10" s="222"/>
      <c r="O10" s="223"/>
      <c r="P10" s="225"/>
      <c r="Q10" s="233"/>
      <c r="R10" s="9"/>
      <c r="S10" s="11"/>
      <c r="X10" s="235"/>
      <c r="Y10" s="235"/>
    </row>
    <row r="11" spans="1:29" ht="13.5" customHeight="1">
      <c r="A11" s="201"/>
      <c r="B11" s="12"/>
      <c r="C11" s="228" t="s">
        <v>11</v>
      </c>
      <c r="D11" s="228" t="s">
        <v>12</v>
      </c>
      <c r="E11" s="230" t="s">
        <v>13</v>
      </c>
      <c r="F11" s="210"/>
      <c r="G11" s="210" t="s">
        <v>5</v>
      </c>
      <c r="H11" s="236" t="s">
        <v>14</v>
      </c>
      <c r="I11" s="228" t="s">
        <v>11</v>
      </c>
      <c r="J11" s="228" t="s">
        <v>15</v>
      </c>
      <c r="K11" s="228" t="s">
        <v>16</v>
      </c>
      <c r="L11" s="226" t="s">
        <v>17</v>
      </c>
      <c r="M11" s="13"/>
      <c r="N11" s="228" t="s">
        <v>18</v>
      </c>
      <c r="O11" s="238" t="s">
        <v>19</v>
      </c>
      <c r="P11" s="240" t="s">
        <v>20</v>
      </c>
      <c r="Q11" s="233"/>
      <c r="R11" s="9"/>
      <c r="S11" s="14"/>
      <c r="X11" s="235"/>
      <c r="Y11" s="235"/>
    </row>
    <row r="12" spans="1:29" ht="66.75" customHeight="1" thickBot="1">
      <c r="A12" s="202"/>
      <c r="B12" s="15" t="s">
        <v>14</v>
      </c>
      <c r="C12" s="229"/>
      <c r="D12" s="229"/>
      <c r="E12" s="231"/>
      <c r="F12" s="211"/>
      <c r="G12" s="211"/>
      <c r="H12" s="237"/>
      <c r="I12" s="229"/>
      <c r="J12" s="229"/>
      <c r="K12" s="229"/>
      <c r="L12" s="227"/>
      <c r="M12" s="16" t="s">
        <v>21</v>
      </c>
      <c r="N12" s="229"/>
      <c r="O12" s="239"/>
      <c r="P12" s="241"/>
      <c r="Q12" s="234"/>
      <c r="R12" s="17"/>
      <c r="V12" t="s">
        <v>22</v>
      </c>
      <c r="W12" t="s">
        <v>23</v>
      </c>
      <c r="X12" s="235"/>
      <c r="Y12" s="235"/>
      <c r="Z12" s="192" t="s">
        <v>55</v>
      </c>
    </row>
    <row r="13" spans="1:29" ht="16.5" thickTop="1" thickBot="1">
      <c r="A13" s="18">
        <v>43541</v>
      </c>
      <c r="B13" s="19">
        <v>2970000</v>
      </c>
      <c r="C13" s="20">
        <v>3000000</v>
      </c>
      <c r="D13" s="20"/>
      <c r="E13" s="21">
        <v>-30000</v>
      </c>
      <c r="F13" s="22">
        <v>-176113.87177890365</v>
      </c>
      <c r="G13" s="23"/>
      <c r="H13" s="24">
        <v>2970000</v>
      </c>
      <c r="I13" s="25">
        <v>3000000</v>
      </c>
      <c r="J13" s="20"/>
      <c r="K13" s="26">
        <v>-30000</v>
      </c>
      <c r="L13" s="27" t="s">
        <v>24</v>
      </c>
      <c r="M13" s="196"/>
      <c r="N13" s="29"/>
      <c r="O13" s="30"/>
      <c r="P13" s="31" t="s">
        <v>24</v>
      </c>
      <c r="Q13" s="32" t="s">
        <v>24</v>
      </c>
      <c r="R13" s="33"/>
      <c r="S13" s="2">
        <v>0</v>
      </c>
      <c r="U13" s="34"/>
      <c r="X13" s="35" t="s">
        <v>25</v>
      </c>
      <c r="Y13" s="36" t="s">
        <v>26</v>
      </c>
      <c r="Z13" s="7"/>
      <c r="AA13" s="7"/>
    </row>
    <row r="14" spans="1:29" ht="16.5" thickTop="1" thickBot="1">
      <c r="A14" s="18">
        <v>43555</v>
      </c>
      <c r="B14" s="37">
        <v>0</v>
      </c>
      <c r="C14" s="29"/>
      <c r="D14" s="29"/>
      <c r="E14" s="38" t="s">
        <v>24</v>
      </c>
      <c r="F14" s="39" t="e">
        <v>#REF!</v>
      </c>
      <c r="G14" s="40"/>
      <c r="H14" s="24">
        <v>2995209.2608515611</v>
      </c>
      <c r="I14" s="41">
        <v>3000000</v>
      </c>
      <c r="J14" s="29">
        <v>25000</v>
      </c>
      <c r="K14" s="42">
        <v>-29790.739148438806</v>
      </c>
      <c r="L14" s="33">
        <v>0</v>
      </c>
      <c r="M14" s="196">
        <v>25209.260851561194</v>
      </c>
      <c r="N14" s="29">
        <v>25000</v>
      </c>
      <c r="O14" s="30">
        <v>209.2608515611937</v>
      </c>
      <c r="P14" s="43">
        <v>0</v>
      </c>
      <c r="Q14" s="44"/>
      <c r="R14" s="33"/>
      <c r="T14" s="7">
        <v>209.2608515611937</v>
      </c>
      <c r="U14" s="7">
        <v>25209.260851561194</v>
      </c>
      <c r="V14" s="45" t="e">
        <v>#REF!</v>
      </c>
      <c r="W14" s="7" t="e">
        <v>#REF!</v>
      </c>
      <c r="X14" s="7">
        <v>209.26</v>
      </c>
      <c r="Y14" s="46" t="s">
        <v>27</v>
      </c>
      <c r="Z14" s="7">
        <v>25209.260851561194</v>
      </c>
      <c r="AA14" s="7"/>
      <c r="AB14" s="7"/>
      <c r="AC14" s="7"/>
    </row>
    <row r="15" spans="1:29" ht="16.5" thickTop="1" thickBot="1">
      <c r="A15" s="18">
        <v>43573</v>
      </c>
      <c r="B15" s="37">
        <v>-93333.333333333343</v>
      </c>
      <c r="C15" s="29">
        <v>-40000</v>
      </c>
      <c r="D15" s="29">
        <v>-53333.333333333336</v>
      </c>
      <c r="E15" s="38" t="s">
        <v>24</v>
      </c>
      <c r="F15" s="39" t="e">
        <v>#REF!</v>
      </c>
      <c r="G15" s="40"/>
      <c r="H15" s="24">
        <v>2930705.1929941489</v>
      </c>
      <c r="I15" s="41">
        <v>2960000</v>
      </c>
      <c r="J15" s="29">
        <v>0</v>
      </c>
      <c r="K15" s="42">
        <v>-29294.807005850937</v>
      </c>
      <c r="L15" s="33">
        <v>0</v>
      </c>
      <c r="M15" s="196">
        <v>28829.265475921202</v>
      </c>
      <c r="N15" s="29">
        <v>28333.333333333332</v>
      </c>
      <c r="O15" s="30">
        <v>495.93214258786975</v>
      </c>
      <c r="P15" s="43">
        <v>0</v>
      </c>
      <c r="Q15" s="44"/>
      <c r="R15" s="33"/>
      <c r="T15" s="7">
        <v>495.93214258786975</v>
      </c>
      <c r="U15" s="7">
        <v>28829.265475921202</v>
      </c>
      <c r="V15" s="45" t="e">
        <v>#REF!</v>
      </c>
      <c r="W15" s="7" t="e">
        <v>#REF!</v>
      </c>
      <c r="X15" s="7">
        <v>495.93</v>
      </c>
      <c r="Y15" s="46" t="s">
        <v>27</v>
      </c>
      <c r="Z15" s="7"/>
      <c r="AA15" s="7"/>
      <c r="AC15" s="7"/>
    </row>
    <row r="16" spans="1:29" ht="15.75" thickTop="1">
      <c r="A16" s="18">
        <v>43585</v>
      </c>
      <c r="B16" s="37">
        <v>0</v>
      </c>
      <c r="C16" s="29"/>
      <c r="D16" s="29">
        <v>0</v>
      </c>
      <c r="E16" s="38"/>
      <c r="F16" s="39" t="e">
        <v>#REF!</v>
      </c>
      <c r="G16" s="40"/>
      <c r="H16" s="24">
        <v>2952251.9966144352</v>
      </c>
      <c r="I16" s="41">
        <v>2960000</v>
      </c>
      <c r="J16" s="29">
        <v>21377.777777777777</v>
      </c>
      <c r="K16" s="42">
        <v>-29125.781163342668</v>
      </c>
      <c r="L16" s="33">
        <v>0</v>
      </c>
      <c r="M16" s="196">
        <v>21546.803620286046</v>
      </c>
      <c r="N16" s="29">
        <v>21377.777777777777</v>
      </c>
      <c r="O16" s="30">
        <v>169.0258425082684</v>
      </c>
      <c r="P16" s="43">
        <v>0</v>
      </c>
      <c r="Q16" s="44">
        <v>7.2548160337663455E-3</v>
      </c>
      <c r="R16" s="33"/>
      <c r="S16" s="2">
        <v>49711.111111111109</v>
      </c>
      <c r="T16" s="7">
        <v>169.0258425082684</v>
      </c>
      <c r="U16" s="7">
        <v>21546.803620286046</v>
      </c>
      <c r="V16" s="45" t="e">
        <v>#REF!</v>
      </c>
      <c r="W16" s="7" t="e">
        <v>#REF!</v>
      </c>
      <c r="X16" s="7"/>
      <c r="Z16" s="7">
        <v>50376.069096207248</v>
      </c>
      <c r="AA16" s="7"/>
      <c r="AB16" s="7"/>
      <c r="AC16" s="7"/>
    </row>
    <row r="17" spans="1:29">
      <c r="A17" s="95">
        <v>43605</v>
      </c>
      <c r="B17" s="96">
        <v>-92622.222222222219</v>
      </c>
      <c r="C17" s="97">
        <v>-40000</v>
      </c>
      <c r="D17" s="97">
        <v>-52622.222222222219</v>
      </c>
      <c r="E17" s="98"/>
      <c r="F17" s="99"/>
      <c r="G17" s="100"/>
      <c r="H17" s="101">
        <v>2891406.5363374827</v>
      </c>
      <c r="I17" s="102">
        <v>2920000</v>
      </c>
      <c r="J17" s="97">
        <v>0</v>
      </c>
      <c r="K17" s="103">
        <v>-28593.463662517202</v>
      </c>
      <c r="L17" s="104">
        <v>0</v>
      </c>
      <c r="M17" s="198">
        <v>31776.761945269911</v>
      </c>
      <c r="N17" s="97">
        <v>31244.444444444445</v>
      </c>
      <c r="O17" s="106">
        <v>532.31750082546569</v>
      </c>
      <c r="P17" s="43">
        <v>0</v>
      </c>
      <c r="Q17" s="44"/>
      <c r="R17" s="33"/>
      <c r="V17" s="45" t="e">
        <v>#REF!</v>
      </c>
      <c r="W17" s="7" t="e">
        <v>#REF!</v>
      </c>
      <c r="X17" s="7">
        <v>701.34</v>
      </c>
      <c r="Y17" s="46" t="s">
        <v>28</v>
      </c>
      <c r="Z17" s="7"/>
      <c r="AA17" s="7"/>
      <c r="AC17" s="7"/>
    </row>
    <row r="18" spans="1:29">
      <c r="A18" s="95"/>
      <c r="B18" s="96"/>
      <c r="C18" s="97"/>
      <c r="D18" s="97"/>
      <c r="E18" s="98"/>
      <c r="F18" s="99"/>
      <c r="G18" s="100"/>
      <c r="H18" s="101"/>
      <c r="I18" s="102"/>
      <c r="J18" s="97"/>
      <c r="K18" s="103"/>
      <c r="L18" s="104"/>
      <c r="M18" s="198"/>
      <c r="N18" s="97"/>
      <c r="O18" s="106"/>
      <c r="P18" s="43"/>
      <c r="Q18" s="44"/>
      <c r="R18" s="33"/>
      <c r="V18" s="45"/>
      <c r="W18" s="7"/>
      <c r="X18" s="7"/>
      <c r="Y18" s="46"/>
      <c r="Z18" s="7"/>
      <c r="AA18" s="7"/>
      <c r="AC18" s="7"/>
    </row>
    <row r="19" spans="1:29">
      <c r="A19" s="18"/>
      <c r="B19" s="37"/>
      <c r="C19" s="29"/>
      <c r="D19" s="29"/>
      <c r="E19" s="38"/>
      <c r="F19" s="39"/>
      <c r="G19" s="47"/>
      <c r="H19" s="24"/>
      <c r="I19" s="41"/>
      <c r="J19" s="29"/>
      <c r="K19" s="42"/>
      <c r="L19" s="33"/>
      <c r="M19" s="196"/>
      <c r="N19" s="29"/>
      <c r="O19" s="30"/>
      <c r="P19" s="43"/>
      <c r="Q19" s="44"/>
      <c r="R19" s="33"/>
      <c r="V19" s="45"/>
      <c r="W19" s="7"/>
      <c r="X19" s="7"/>
      <c r="Y19" s="46"/>
      <c r="Z19" s="7"/>
      <c r="AA19" s="7"/>
      <c r="AC19" s="7"/>
    </row>
    <row r="20" spans="1:29">
      <c r="A20" s="95">
        <v>43605</v>
      </c>
      <c r="B20" s="37">
        <v>0</v>
      </c>
      <c r="C20" s="29"/>
      <c r="D20" s="29"/>
      <c r="E20" s="38"/>
      <c r="F20" s="39"/>
      <c r="G20" s="47"/>
      <c r="H20" s="193">
        <f>-(XNPV($O$6,B20:$B$167,A20:$A$167)-B20)*((1+$O$6)^(1/365))</f>
        <v>3201513.7957844078</v>
      </c>
      <c r="I20" s="41"/>
      <c r="J20" s="29"/>
      <c r="K20" s="42"/>
      <c r="L20" s="33"/>
      <c r="M20" s="196"/>
      <c r="N20" s="29"/>
      <c r="O20" s="195"/>
      <c r="P20" s="43"/>
      <c r="Q20" s="44"/>
      <c r="R20" s="33"/>
      <c r="V20" s="45"/>
      <c r="W20" s="7"/>
      <c r="X20" s="7"/>
      <c r="Y20" s="46"/>
      <c r="Z20" s="7"/>
      <c r="AA20" s="7">
        <f>H20-H17</f>
        <v>310107.25944692502</v>
      </c>
      <c r="AC20" s="7"/>
    </row>
    <row r="21" spans="1:29">
      <c r="A21" s="18">
        <v>43606</v>
      </c>
      <c r="B21" s="37">
        <f t="shared" ref="B21:B167" si="0">SUM(C21:E21)</f>
        <v>0</v>
      </c>
      <c r="C21" s="29"/>
      <c r="D21" s="29"/>
      <c r="E21" s="38"/>
      <c r="F21" s="39"/>
      <c r="G21" s="47"/>
      <c r="H21" s="24">
        <f t="shared" ref="H21:H167" si="1">I21+J21+K21</f>
        <v>2922027.777777778</v>
      </c>
      <c r="I21" s="194">
        <f>I17</f>
        <v>2920000</v>
      </c>
      <c r="J21" s="29">
        <f>J17+N21-D21</f>
        <v>2027.7777777777778</v>
      </c>
      <c r="K21" s="103"/>
      <c r="L21" s="33"/>
      <c r="M21" s="196"/>
      <c r="N21" s="108">
        <f>(I21)*O4/360</f>
        <v>2027.7777777777778</v>
      </c>
      <c r="O21" s="30"/>
      <c r="P21" s="43"/>
      <c r="Q21" s="44"/>
      <c r="R21" s="33"/>
      <c r="V21" s="45"/>
      <c r="W21" s="7"/>
      <c r="X21" s="7"/>
      <c r="Y21" s="46"/>
      <c r="Z21" s="7"/>
      <c r="AA21" s="7">
        <f>AA20/H17</f>
        <v>0.10725135173822183</v>
      </c>
      <c r="AC21" s="7"/>
    </row>
    <row r="22" spans="1:29">
      <c r="A22" s="18">
        <v>43616</v>
      </c>
      <c r="B22" s="37">
        <f t="shared" si="0"/>
        <v>0</v>
      </c>
      <c r="C22" s="29"/>
      <c r="D22" s="29">
        <v>0</v>
      </c>
      <c r="E22" s="38"/>
      <c r="F22" s="39"/>
      <c r="G22" s="47"/>
      <c r="H22" s="24">
        <f t="shared" si="1"/>
        <v>2942305.5555555555</v>
      </c>
      <c r="I22" s="41">
        <f>I21+C22</f>
        <v>2920000</v>
      </c>
      <c r="J22" s="29">
        <f>J21+N22+D22</f>
        <v>22305.555555555555</v>
      </c>
      <c r="K22" s="42"/>
      <c r="L22" s="33">
        <f t="shared" ref="L22:L167" si="2">P22</f>
        <v>0</v>
      </c>
      <c r="M22" s="196"/>
      <c r="N22" s="29">
        <f>I21*O$4*(A22-A21)/360</f>
        <v>20277.777777777777</v>
      </c>
      <c r="O22" s="30"/>
      <c r="P22" s="43">
        <v>0</v>
      </c>
      <c r="Q22" s="44">
        <f>M22/H16</f>
        <v>0</v>
      </c>
      <c r="R22" s="33"/>
      <c r="S22" s="2">
        <f>N17+N22-D22</f>
        <v>51522.222222222219</v>
      </c>
      <c r="T22" s="7">
        <f>O22+O17</f>
        <v>532.31750082546569</v>
      </c>
      <c r="U22" s="7">
        <f>M17+M22</f>
        <v>31776.761945269911</v>
      </c>
      <c r="V22" s="45" t="e">
        <f>N22-#REF!</f>
        <v>#REF!</v>
      </c>
      <c r="W22" s="7" t="e">
        <f>J22-#REF!</f>
        <v>#REF!</v>
      </c>
      <c r="X22" s="7"/>
      <c r="Z22" s="7"/>
      <c r="AA22" s="7"/>
      <c r="AC22" s="7"/>
    </row>
    <row r="23" spans="1:29">
      <c r="A23" s="18">
        <v>43636</v>
      </c>
      <c r="B23" s="37">
        <f t="shared" si="0"/>
        <v>-100833.33333333334</v>
      </c>
      <c r="C23" s="29">
        <v>-40000</v>
      </c>
      <c r="D23" s="29">
        <f>-I21*O$4*(A23-A21)/360</f>
        <v>-60833.333333333336</v>
      </c>
      <c r="E23" s="38"/>
      <c r="F23" s="39"/>
      <c r="G23" s="47"/>
      <c r="H23" s="24">
        <f t="shared" si="1"/>
        <v>2880000</v>
      </c>
      <c r="I23" s="41">
        <f t="shared" ref="I23:I86" si="3">I22+C23</f>
        <v>2880000</v>
      </c>
      <c r="J23" s="29">
        <f t="shared" ref="J23:J86" si="4">J22+N23+D23</f>
        <v>0</v>
      </c>
      <c r="K23" s="42"/>
      <c r="L23" s="33">
        <f t="shared" si="2"/>
        <v>0</v>
      </c>
      <c r="M23" s="196"/>
      <c r="N23" s="29">
        <f t="shared" ref="N23" si="5">I22*O$4*(A23-A22-1)/360</f>
        <v>38527.777777777781</v>
      </c>
      <c r="O23" s="30"/>
      <c r="P23" s="43">
        <v>0</v>
      </c>
      <c r="Q23" s="44"/>
      <c r="R23" s="33"/>
      <c r="V23" s="45" t="e">
        <f>N23-#REF!</f>
        <v>#REF!</v>
      </c>
      <c r="W23" s="7" t="e">
        <f>J23-#REF!</f>
        <v>#REF!</v>
      </c>
      <c r="X23" s="7">
        <f>ROUND((O22+O23),2)</f>
        <v>0</v>
      </c>
      <c r="Y23" s="46" t="s">
        <v>28</v>
      </c>
      <c r="Z23" s="7"/>
      <c r="AA23" s="7"/>
      <c r="AC23" s="7"/>
    </row>
    <row r="24" spans="1:29">
      <c r="A24" s="18">
        <v>43646</v>
      </c>
      <c r="B24" s="37">
        <f t="shared" si="0"/>
        <v>0</v>
      </c>
      <c r="C24" s="29"/>
      <c r="D24" s="29">
        <v>0</v>
      </c>
      <c r="E24" s="38"/>
      <c r="F24" s="39"/>
      <c r="G24" s="47"/>
      <c r="H24" s="24">
        <f t="shared" si="1"/>
        <v>2902000</v>
      </c>
      <c r="I24" s="41">
        <f t="shared" si="3"/>
        <v>2880000</v>
      </c>
      <c r="J24" s="29">
        <f t="shared" si="4"/>
        <v>22000</v>
      </c>
      <c r="K24" s="42"/>
      <c r="L24" s="33">
        <f t="shared" si="2"/>
        <v>0</v>
      </c>
      <c r="M24" s="196"/>
      <c r="N24" s="29">
        <f t="shared" ref="N24" si="6">I23*O$4*(A24-A23+1)/360</f>
        <v>22000</v>
      </c>
      <c r="O24" s="30"/>
      <c r="P24" s="43">
        <v>0</v>
      </c>
      <c r="Q24" s="44">
        <f>M24/H22</f>
        <v>0</v>
      </c>
      <c r="R24" s="33"/>
      <c r="S24" s="2">
        <f>N23+N24-D24</f>
        <v>60527.777777777781</v>
      </c>
      <c r="T24" s="7">
        <f>O24+O23</f>
        <v>0</v>
      </c>
      <c r="U24" s="7">
        <f>M23+M24</f>
        <v>0</v>
      </c>
      <c r="V24" s="45" t="e">
        <f>N24-#REF!</f>
        <v>#REF!</v>
      </c>
      <c r="W24" s="7" t="e">
        <f>J24-#REF!</f>
        <v>#REF!</v>
      </c>
      <c r="X24" s="7"/>
      <c r="Z24" s="7">
        <f t="shared" ref="Z24" si="7">M24+M23</f>
        <v>0</v>
      </c>
      <c r="AA24" s="7"/>
      <c r="AC24" s="7"/>
    </row>
    <row r="25" spans="1:29">
      <c r="A25" s="18">
        <v>43664</v>
      </c>
      <c r="B25" s="37">
        <f t="shared" si="0"/>
        <v>-96000</v>
      </c>
      <c r="C25" s="29">
        <v>-40000</v>
      </c>
      <c r="D25" s="29">
        <f t="shared" ref="D25" si="8">-I23*O$4*(A25-A23)/360</f>
        <v>-56000</v>
      </c>
      <c r="E25" s="38"/>
      <c r="F25" s="39"/>
      <c r="G25" s="47"/>
      <c r="H25" s="24">
        <f t="shared" si="1"/>
        <v>2840000</v>
      </c>
      <c r="I25" s="41">
        <f t="shared" si="3"/>
        <v>2840000</v>
      </c>
      <c r="J25" s="29">
        <f t="shared" si="4"/>
        <v>0</v>
      </c>
      <c r="K25" s="42"/>
      <c r="L25" s="33">
        <f t="shared" si="2"/>
        <v>0</v>
      </c>
      <c r="M25" s="196"/>
      <c r="N25" s="29">
        <f t="shared" ref="N25" si="9">I24*O$4*(A25-A24-1)/360</f>
        <v>34000</v>
      </c>
      <c r="O25" s="30"/>
      <c r="P25" s="43">
        <v>0</v>
      </c>
      <c r="Q25" s="44"/>
      <c r="R25" s="33"/>
      <c r="V25" s="45" t="e">
        <f>N25-#REF!</f>
        <v>#REF!</v>
      </c>
      <c r="W25" s="7" t="e">
        <f>J25-#REF!</f>
        <v>#REF!</v>
      </c>
      <c r="X25" s="7">
        <f>ROUND((O24+O25),2)</f>
        <v>0</v>
      </c>
      <c r="Y25" s="46" t="s">
        <v>28</v>
      </c>
      <c r="Z25" s="7"/>
      <c r="AA25" s="7"/>
      <c r="AC25" s="7"/>
    </row>
    <row r="26" spans="1:29">
      <c r="A26" s="18">
        <v>43677</v>
      </c>
      <c r="B26" s="37">
        <f t="shared" si="0"/>
        <v>0</v>
      </c>
      <c r="C26" s="29"/>
      <c r="D26" s="29">
        <v>0</v>
      </c>
      <c r="E26" s="38"/>
      <c r="F26" s="39"/>
      <c r="G26" s="47"/>
      <c r="H26" s="24">
        <f t="shared" si="1"/>
        <v>2867611.111111111</v>
      </c>
      <c r="I26" s="41">
        <f t="shared" si="3"/>
        <v>2840000</v>
      </c>
      <c r="J26" s="29">
        <f t="shared" si="4"/>
        <v>27611.111111111109</v>
      </c>
      <c r="K26" s="42"/>
      <c r="L26" s="33">
        <f t="shared" si="2"/>
        <v>0</v>
      </c>
      <c r="M26" s="196"/>
      <c r="N26" s="29">
        <f t="shared" ref="N26" si="10">I25*O$4*(A26-A25+1)/360</f>
        <v>27611.111111111109</v>
      </c>
      <c r="O26" s="30"/>
      <c r="P26" s="43">
        <v>0</v>
      </c>
      <c r="Q26" s="44">
        <f>M26/H24</f>
        <v>0</v>
      </c>
      <c r="R26" s="33"/>
      <c r="S26" s="2">
        <f>N25+N26-D26</f>
        <v>61611.111111111109</v>
      </c>
      <c r="T26" s="7">
        <f>O26+O25</f>
        <v>0</v>
      </c>
      <c r="U26" s="7">
        <f>M25+M26</f>
        <v>0</v>
      </c>
      <c r="V26" s="45" t="e">
        <f>N26-#REF!</f>
        <v>#REF!</v>
      </c>
      <c r="W26" s="7" t="e">
        <f>J26-#REF!</f>
        <v>#REF!</v>
      </c>
      <c r="X26" s="7"/>
      <c r="Z26" s="7">
        <f t="shared" ref="Z26" si="11">M26+M25</f>
        <v>0</v>
      </c>
      <c r="AA26" s="7"/>
      <c r="AC26" s="7"/>
    </row>
    <row r="27" spans="1:29">
      <c r="A27" s="18">
        <v>43697</v>
      </c>
      <c r="B27" s="37">
        <f t="shared" si="0"/>
        <v>-105083.33333333334</v>
      </c>
      <c r="C27" s="29">
        <v>-40000</v>
      </c>
      <c r="D27" s="29">
        <f t="shared" ref="D27" si="12">-I25*O$4*(A27-A25)/360</f>
        <v>-65083.333333333336</v>
      </c>
      <c r="E27" s="38"/>
      <c r="F27" s="39"/>
      <c r="G27" s="47"/>
      <c r="H27" s="24">
        <f t="shared" si="1"/>
        <v>2800000</v>
      </c>
      <c r="I27" s="41">
        <f t="shared" si="3"/>
        <v>2800000</v>
      </c>
      <c r="J27" s="29">
        <f t="shared" si="4"/>
        <v>0</v>
      </c>
      <c r="K27" s="42"/>
      <c r="L27" s="33">
        <f t="shared" si="2"/>
        <v>0</v>
      </c>
      <c r="M27" s="196"/>
      <c r="N27" s="29">
        <f t="shared" ref="N27" si="13">I26*O$4*(A27-A26-1)/360</f>
        <v>37472.222222222219</v>
      </c>
      <c r="O27" s="30"/>
      <c r="P27" s="43">
        <v>0</v>
      </c>
      <c r="Q27" s="44"/>
      <c r="R27" s="33"/>
      <c r="V27" s="45" t="e">
        <f>N27-#REF!</f>
        <v>#REF!</v>
      </c>
      <c r="W27" s="7" t="e">
        <f>J27-#REF!</f>
        <v>#REF!</v>
      </c>
      <c r="X27" s="7">
        <f>ROUND((O26+O27),2)</f>
        <v>0</v>
      </c>
      <c r="Y27" s="46" t="s">
        <v>28</v>
      </c>
      <c r="Z27" s="7"/>
      <c r="AA27" s="7"/>
      <c r="AC27" s="7"/>
    </row>
    <row r="28" spans="1:29">
      <c r="A28" s="18">
        <v>43708</v>
      </c>
      <c r="B28" s="37">
        <f t="shared" si="0"/>
        <v>0</v>
      </c>
      <c r="C28" s="29"/>
      <c r="D28" s="29">
        <v>0</v>
      </c>
      <c r="E28" s="38"/>
      <c r="F28" s="39"/>
      <c r="G28" s="47"/>
      <c r="H28" s="24">
        <f t="shared" si="1"/>
        <v>2823333.3333333335</v>
      </c>
      <c r="I28" s="41">
        <f t="shared" si="3"/>
        <v>2800000</v>
      </c>
      <c r="J28" s="29">
        <f t="shared" si="4"/>
        <v>23333.333333333332</v>
      </c>
      <c r="K28" s="42"/>
      <c r="L28" s="33">
        <f t="shared" si="2"/>
        <v>0</v>
      </c>
      <c r="M28" s="196"/>
      <c r="N28" s="29">
        <f t="shared" ref="N28" si="14">I27*O$4*(A28-A27+1)/360</f>
        <v>23333.333333333332</v>
      </c>
      <c r="O28" s="30"/>
      <c r="P28" s="43">
        <v>0</v>
      </c>
      <c r="Q28" s="44">
        <f>M28/H26</f>
        <v>0</v>
      </c>
      <c r="R28" s="33"/>
      <c r="S28" s="2">
        <f>N27+N28-D28</f>
        <v>60805.555555555547</v>
      </c>
      <c r="T28" s="7">
        <f>O28+O27</f>
        <v>0</v>
      </c>
      <c r="U28" s="7">
        <f>M27+M28</f>
        <v>0</v>
      </c>
      <c r="V28" s="45" t="e">
        <f>N28-#REF!</f>
        <v>#REF!</v>
      </c>
      <c r="W28" s="7" t="e">
        <f>J28-#REF!</f>
        <v>#REF!</v>
      </c>
      <c r="X28" s="7"/>
      <c r="Z28" s="7">
        <f t="shared" ref="Z28" si="15">M28+M27</f>
        <v>0</v>
      </c>
      <c r="AA28" s="7"/>
      <c r="AC28" s="7"/>
    </row>
    <row r="29" spans="1:29">
      <c r="A29" s="18">
        <v>43727</v>
      </c>
      <c r="B29" s="37">
        <f t="shared" si="0"/>
        <v>-98333.333333333343</v>
      </c>
      <c r="C29" s="29">
        <v>-40000</v>
      </c>
      <c r="D29" s="29">
        <f t="shared" ref="D29" si="16">-I27*O$4*(A29-A27)/360</f>
        <v>-58333.333333333336</v>
      </c>
      <c r="E29" s="38"/>
      <c r="F29" s="39"/>
      <c r="G29" s="47"/>
      <c r="H29" s="24">
        <f t="shared" si="1"/>
        <v>2760000</v>
      </c>
      <c r="I29" s="41">
        <f t="shared" si="3"/>
        <v>2760000</v>
      </c>
      <c r="J29" s="29">
        <f t="shared" si="4"/>
        <v>0</v>
      </c>
      <c r="K29" s="42"/>
      <c r="L29" s="33">
        <f t="shared" si="2"/>
        <v>0</v>
      </c>
      <c r="M29" s="196"/>
      <c r="N29" s="29">
        <f t="shared" ref="N29" si="17">I28*O$4*(A29-A28-1)/360</f>
        <v>35000</v>
      </c>
      <c r="O29" s="30"/>
      <c r="P29" s="43">
        <v>0</v>
      </c>
      <c r="Q29" s="44"/>
      <c r="R29" s="33"/>
      <c r="V29" s="45" t="e">
        <f>N29-#REF!</f>
        <v>#REF!</v>
      </c>
      <c r="W29" s="7" t="e">
        <f>J29-#REF!</f>
        <v>#REF!</v>
      </c>
      <c r="X29" s="7">
        <f>ROUND((O28+O29),2)</f>
        <v>0</v>
      </c>
      <c r="Y29" s="46" t="s">
        <v>28</v>
      </c>
      <c r="Z29" s="7"/>
      <c r="AA29" s="7"/>
      <c r="AC29" s="7"/>
    </row>
    <row r="30" spans="1:29">
      <c r="A30" s="18">
        <v>43738</v>
      </c>
      <c r="B30" s="37">
        <f t="shared" si="0"/>
        <v>0</v>
      </c>
      <c r="C30" s="29"/>
      <c r="D30" s="29">
        <v>0</v>
      </c>
      <c r="E30" s="38"/>
      <c r="F30" s="39"/>
      <c r="G30" s="47"/>
      <c r="H30" s="24">
        <f t="shared" si="1"/>
        <v>2783000</v>
      </c>
      <c r="I30" s="41">
        <f t="shared" si="3"/>
        <v>2760000</v>
      </c>
      <c r="J30" s="29">
        <f t="shared" si="4"/>
        <v>23000</v>
      </c>
      <c r="K30" s="42"/>
      <c r="L30" s="33">
        <f t="shared" si="2"/>
        <v>0</v>
      </c>
      <c r="M30" s="196"/>
      <c r="N30" s="29">
        <f t="shared" ref="N30" si="18">I29*O$4*(A30-A29+1)/360</f>
        <v>23000</v>
      </c>
      <c r="O30" s="30"/>
      <c r="P30" s="43">
        <v>0</v>
      </c>
      <c r="Q30" s="44">
        <f>M30/H28</f>
        <v>0</v>
      </c>
      <c r="R30" s="33"/>
      <c r="S30" s="2">
        <f>N29+N30-D30</f>
        <v>58000</v>
      </c>
      <c r="T30" s="7">
        <f>O30+O29</f>
        <v>0</v>
      </c>
      <c r="U30" s="7">
        <f>M29+M30</f>
        <v>0</v>
      </c>
      <c r="V30" s="45" t="e">
        <f>N30-#REF!</f>
        <v>#REF!</v>
      </c>
      <c r="W30" s="7" t="e">
        <f>J30-#REF!</f>
        <v>#REF!</v>
      </c>
      <c r="X30" s="7"/>
      <c r="Z30" s="7">
        <f t="shared" ref="Z30:Z92" si="19">M30+M29</f>
        <v>0</v>
      </c>
      <c r="AA30" s="7"/>
      <c r="AC30" s="7"/>
    </row>
    <row r="31" spans="1:29">
      <c r="A31" s="18">
        <v>43758</v>
      </c>
      <c r="B31" s="37">
        <f t="shared" si="0"/>
        <v>-99416.666666666657</v>
      </c>
      <c r="C31" s="29">
        <v>-40000</v>
      </c>
      <c r="D31" s="29">
        <f t="shared" ref="D31" si="20">-I29*O$4*(A31-A29)/360</f>
        <v>-59416.666666666664</v>
      </c>
      <c r="E31" s="38"/>
      <c r="F31" s="39"/>
      <c r="G31" s="47"/>
      <c r="H31" s="24">
        <f t="shared" si="1"/>
        <v>2720000</v>
      </c>
      <c r="I31" s="41">
        <f t="shared" si="3"/>
        <v>2720000</v>
      </c>
      <c r="J31" s="29">
        <f t="shared" si="4"/>
        <v>0</v>
      </c>
      <c r="K31" s="42"/>
      <c r="L31" s="33">
        <f t="shared" si="2"/>
        <v>0</v>
      </c>
      <c r="M31" s="196"/>
      <c r="N31" s="29">
        <f t="shared" ref="N31:N94" si="21">I30*O$4*(A31-A30-1)/360</f>
        <v>36416.666666666664</v>
      </c>
      <c r="O31" s="30"/>
      <c r="P31" s="43">
        <v>0</v>
      </c>
      <c r="Q31" s="44"/>
      <c r="R31" s="33"/>
      <c r="V31" s="45" t="e">
        <f>N31-#REF!</f>
        <v>#REF!</v>
      </c>
      <c r="W31" s="7" t="e">
        <f>J31-#REF!</f>
        <v>#REF!</v>
      </c>
      <c r="X31" s="7">
        <f>ROUND((O30+O31),2)</f>
        <v>0</v>
      </c>
      <c r="Y31" s="46" t="s">
        <v>28</v>
      </c>
      <c r="Z31" s="7"/>
      <c r="AA31" s="7"/>
      <c r="AC31" s="7"/>
    </row>
    <row r="32" spans="1:29">
      <c r="A32" s="18">
        <v>43769</v>
      </c>
      <c r="B32" s="37">
        <f t="shared" si="0"/>
        <v>0</v>
      </c>
      <c r="C32" s="29"/>
      <c r="D32" s="29">
        <v>0</v>
      </c>
      <c r="E32" s="38"/>
      <c r="F32" s="39"/>
      <c r="G32" s="47"/>
      <c r="H32" s="24">
        <f t="shared" si="1"/>
        <v>2738888.888888889</v>
      </c>
      <c r="I32" s="41">
        <f t="shared" si="3"/>
        <v>2720000</v>
      </c>
      <c r="J32" s="29">
        <f t="shared" si="4"/>
        <v>18888.888888888891</v>
      </c>
      <c r="K32" s="42"/>
      <c r="L32" s="33">
        <f t="shared" si="2"/>
        <v>0</v>
      </c>
      <c r="M32" s="196"/>
      <c r="N32" s="29">
        <f t="shared" si="21"/>
        <v>18888.888888888891</v>
      </c>
      <c r="O32" s="30"/>
      <c r="P32" s="43"/>
      <c r="Q32" s="44"/>
      <c r="R32" s="33"/>
      <c r="V32" s="45"/>
      <c r="W32" s="7"/>
      <c r="X32" s="7"/>
      <c r="Y32" s="46"/>
      <c r="Z32" s="7">
        <f t="shared" si="19"/>
        <v>0</v>
      </c>
      <c r="AA32" s="7"/>
      <c r="AC32" s="7"/>
    </row>
    <row r="33" spans="1:29">
      <c r="A33" s="18">
        <v>43789</v>
      </c>
      <c r="B33" s="37">
        <f t="shared" si="0"/>
        <v>-98555.555555555562</v>
      </c>
      <c r="C33" s="29">
        <v>-40000</v>
      </c>
      <c r="D33" s="29">
        <f t="shared" ref="D33" si="22">-I31*O$4*(A33-A31)/360</f>
        <v>-58555.555555555555</v>
      </c>
      <c r="E33" s="38"/>
      <c r="F33" s="39"/>
      <c r="G33" s="47"/>
      <c r="H33" s="24">
        <f t="shared" si="1"/>
        <v>2680000</v>
      </c>
      <c r="I33" s="41">
        <f t="shared" si="3"/>
        <v>2680000</v>
      </c>
      <c r="J33" s="29">
        <f>J32+N33+D33</f>
        <v>0</v>
      </c>
      <c r="K33" s="42"/>
      <c r="L33" s="33">
        <f t="shared" si="2"/>
        <v>0</v>
      </c>
      <c r="M33" s="196"/>
      <c r="N33" s="29">
        <f>I32*O$4*(A33-A32+1)/360</f>
        <v>39666.666666666664</v>
      </c>
      <c r="O33" s="30"/>
      <c r="P33" s="43"/>
      <c r="Q33" s="44"/>
      <c r="R33" s="33"/>
      <c r="V33" s="45"/>
      <c r="W33" s="7"/>
      <c r="X33" s="7"/>
      <c r="Y33" s="46"/>
      <c r="Z33" s="7"/>
      <c r="AA33" s="7"/>
      <c r="AC33" s="7"/>
    </row>
    <row r="34" spans="1:29">
      <c r="A34" s="18">
        <v>43799</v>
      </c>
      <c r="B34" s="37">
        <f t="shared" si="0"/>
        <v>0</v>
      </c>
      <c r="C34" s="29"/>
      <c r="D34" s="29">
        <v>0</v>
      </c>
      <c r="E34" s="38"/>
      <c r="F34" s="39"/>
      <c r="G34" s="47"/>
      <c r="H34" s="24">
        <f t="shared" si="1"/>
        <v>2696750</v>
      </c>
      <c r="I34" s="41">
        <f t="shared" si="3"/>
        <v>2680000</v>
      </c>
      <c r="J34" s="29">
        <f t="shared" si="4"/>
        <v>16750</v>
      </c>
      <c r="K34" s="42"/>
      <c r="L34" s="33">
        <f t="shared" si="2"/>
        <v>0</v>
      </c>
      <c r="M34" s="196"/>
      <c r="N34" s="29">
        <f t="shared" si="21"/>
        <v>16750</v>
      </c>
      <c r="O34" s="30"/>
      <c r="P34" s="43"/>
      <c r="Q34" s="44"/>
      <c r="R34" s="33"/>
      <c r="V34" s="45"/>
      <c r="W34" s="7"/>
      <c r="X34" s="7"/>
      <c r="Y34" s="46"/>
      <c r="Z34" s="7">
        <f t="shared" si="19"/>
        <v>0</v>
      </c>
      <c r="AA34" s="7"/>
      <c r="AC34" s="7"/>
    </row>
    <row r="35" spans="1:29">
      <c r="A35" s="18">
        <v>43818</v>
      </c>
      <c r="B35" s="37">
        <f t="shared" si="0"/>
        <v>-93972.222222222219</v>
      </c>
      <c r="C35" s="29">
        <v>-40000</v>
      </c>
      <c r="D35" s="29">
        <f t="shared" ref="D35" si="23">-I33*O$4*(A35-A33)/360</f>
        <v>-53972.222222222219</v>
      </c>
      <c r="E35" s="38"/>
      <c r="F35" s="39"/>
      <c r="G35" s="47"/>
      <c r="H35" s="24">
        <f t="shared" si="1"/>
        <v>2640000</v>
      </c>
      <c r="I35" s="41">
        <f t="shared" si="3"/>
        <v>2640000</v>
      </c>
      <c r="J35" s="29">
        <f t="shared" si="4"/>
        <v>0</v>
      </c>
      <c r="K35" s="42"/>
      <c r="L35" s="33">
        <f t="shared" si="2"/>
        <v>0</v>
      </c>
      <c r="M35" s="196"/>
      <c r="N35" s="29">
        <f>I34*O$4*(A35-A34+1)/360</f>
        <v>37222.222222222219</v>
      </c>
      <c r="O35" s="30"/>
      <c r="P35" s="43"/>
      <c r="Q35" s="44"/>
      <c r="R35" s="33"/>
      <c r="V35" s="45"/>
      <c r="W35" s="7"/>
      <c r="X35" s="7"/>
      <c r="Y35" s="46"/>
      <c r="Z35" s="7"/>
      <c r="AA35" s="7"/>
      <c r="AC35" s="7"/>
    </row>
    <row r="36" spans="1:29">
      <c r="A36" s="18">
        <v>43830</v>
      </c>
      <c r="B36" s="37">
        <f t="shared" si="0"/>
        <v>0</v>
      </c>
      <c r="C36" s="29"/>
      <c r="D36" s="29">
        <v>0</v>
      </c>
      <c r="E36" s="38"/>
      <c r="F36" s="39"/>
      <c r="G36" s="47"/>
      <c r="H36" s="24">
        <f t="shared" si="1"/>
        <v>2660166.6666666665</v>
      </c>
      <c r="I36" s="41">
        <f t="shared" si="3"/>
        <v>2640000</v>
      </c>
      <c r="J36" s="29">
        <f t="shared" si="4"/>
        <v>20166.666666666668</v>
      </c>
      <c r="K36" s="42"/>
      <c r="L36" s="33">
        <f t="shared" si="2"/>
        <v>0</v>
      </c>
      <c r="M36" s="196"/>
      <c r="N36" s="29">
        <f t="shared" si="21"/>
        <v>20166.666666666668</v>
      </c>
      <c r="O36" s="30"/>
      <c r="P36" s="43"/>
      <c r="Q36" s="44"/>
      <c r="R36" s="33"/>
      <c r="V36" s="45"/>
      <c r="W36" s="7"/>
      <c r="X36" s="7"/>
      <c r="Y36" s="46"/>
      <c r="Z36" s="7">
        <f t="shared" si="19"/>
        <v>0</v>
      </c>
      <c r="AA36" s="7"/>
      <c r="AC36" s="7"/>
    </row>
    <row r="37" spans="1:29">
      <c r="A37" s="18">
        <v>43850</v>
      </c>
      <c r="B37" s="37">
        <f t="shared" si="0"/>
        <v>-98666.666666666657</v>
      </c>
      <c r="C37" s="29">
        <v>-40000</v>
      </c>
      <c r="D37" s="29">
        <f t="shared" ref="D37" si="24">-I35*O$4*(A37-A35)/360</f>
        <v>-58666.666666666664</v>
      </c>
      <c r="E37" s="38"/>
      <c r="F37" s="39"/>
      <c r="G37" s="47"/>
      <c r="H37" s="24">
        <f t="shared" si="1"/>
        <v>2600000</v>
      </c>
      <c r="I37" s="41">
        <f t="shared" si="3"/>
        <v>2600000</v>
      </c>
      <c r="J37" s="29">
        <f t="shared" si="4"/>
        <v>0</v>
      </c>
      <c r="K37" s="42"/>
      <c r="L37" s="33">
        <f t="shared" si="2"/>
        <v>0</v>
      </c>
      <c r="M37" s="196"/>
      <c r="N37" s="29">
        <f>I36*O$4*(A37-A36+1)/360</f>
        <v>38500</v>
      </c>
      <c r="O37" s="30"/>
      <c r="P37" s="43"/>
      <c r="Q37" s="44"/>
      <c r="R37" s="33"/>
      <c r="V37" s="45"/>
      <c r="W37" s="7"/>
      <c r="X37" s="7"/>
      <c r="Y37" s="46"/>
      <c r="Z37" s="7"/>
      <c r="AA37" s="7"/>
      <c r="AC37" s="7"/>
    </row>
    <row r="38" spans="1:29">
      <c r="A38" s="18">
        <v>43861</v>
      </c>
      <c r="B38" s="37">
        <f t="shared" si="0"/>
        <v>0</v>
      </c>
      <c r="C38" s="29"/>
      <c r="D38" s="29">
        <v>0</v>
      </c>
      <c r="E38" s="38"/>
      <c r="F38" s="39"/>
      <c r="G38" s="47"/>
      <c r="H38" s="24">
        <f t="shared" si="1"/>
        <v>2618055.5555555555</v>
      </c>
      <c r="I38" s="41">
        <f t="shared" si="3"/>
        <v>2600000</v>
      </c>
      <c r="J38" s="29">
        <f t="shared" si="4"/>
        <v>18055.555555555555</v>
      </c>
      <c r="K38" s="42"/>
      <c r="L38" s="33">
        <f t="shared" si="2"/>
        <v>0</v>
      </c>
      <c r="M38" s="196"/>
      <c r="N38" s="29">
        <f t="shared" si="21"/>
        <v>18055.555555555555</v>
      </c>
      <c r="O38" s="30"/>
      <c r="P38" s="43"/>
      <c r="Q38" s="44"/>
      <c r="R38" s="33"/>
      <c r="V38" s="45"/>
      <c r="W38" s="7"/>
      <c r="X38" s="7"/>
      <c r="Y38" s="46"/>
      <c r="Z38" s="7">
        <f t="shared" si="19"/>
        <v>0</v>
      </c>
      <c r="AA38" s="7"/>
      <c r="AC38" s="7"/>
    </row>
    <row r="39" spans="1:29">
      <c r="A39" s="18">
        <v>43881</v>
      </c>
      <c r="B39" s="37">
        <f t="shared" si="0"/>
        <v>-95972.222222222219</v>
      </c>
      <c r="C39" s="29">
        <v>-40000</v>
      </c>
      <c r="D39" s="29">
        <f t="shared" ref="D39" si="25">-I37*O$4*(A39-A37)/360</f>
        <v>-55972.222222222219</v>
      </c>
      <c r="E39" s="38"/>
      <c r="F39" s="39"/>
      <c r="G39" s="47"/>
      <c r="H39" s="24">
        <f t="shared" si="1"/>
        <v>2560000</v>
      </c>
      <c r="I39" s="41">
        <f t="shared" si="3"/>
        <v>2560000</v>
      </c>
      <c r="J39" s="29">
        <f t="shared" si="4"/>
        <v>0</v>
      </c>
      <c r="K39" s="42"/>
      <c r="L39" s="33">
        <f t="shared" si="2"/>
        <v>0</v>
      </c>
      <c r="M39" s="196"/>
      <c r="N39" s="29">
        <f t="shared" ref="N39" si="26">I38*O$4*(A39-A38+1)/360</f>
        <v>37916.666666666664</v>
      </c>
      <c r="O39" s="30"/>
      <c r="P39" s="43"/>
      <c r="Q39" s="44"/>
      <c r="R39" s="33"/>
      <c r="V39" s="45"/>
      <c r="W39" s="7"/>
      <c r="X39" s="7"/>
      <c r="Y39" s="46"/>
      <c r="Z39" s="7"/>
      <c r="AA39" s="7"/>
      <c r="AC39" s="7"/>
    </row>
    <row r="40" spans="1:29">
      <c r="A40" s="18">
        <v>43890</v>
      </c>
      <c r="B40" s="37">
        <f t="shared" si="0"/>
        <v>0</v>
      </c>
      <c r="C40" s="29"/>
      <c r="D40" s="29">
        <v>0</v>
      </c>
      <c r="E40" s="38"/>
      <c r="F40" s="39"/>
      <c r="G40" s="47"/>
      <c r="H40" s="24">
        <f t="shared" si="1"/>
        <v>2574222.222222222</v>
      </c>
      <c r="I40" s="41">
        <f t="shared" si="3"/>
        <v>2560000</v>
      </c>
      <c r="J40" s="29">
        <f t="shared" si="4"/>
        <v>14222.222222222223</v>
      </c>
      <c r="K40" s="42"/>
      <c r="L40" s="33">
        <f t="shared" si="2"/>
        <v>0</v>
      </c>
      <c r="M40" s="196"/>
      <c r="N40" s="29">
        <f t="shared" si="21"/>
        <v>14222.222222222223</v>
      </c>
      <c r="O40" s="30"/>
      <c r="P40" s="43"/>
      <c r="Q40" s="44"/>
      <c r="R40" s="33"/>
      <c r="V40" s="45"/>
      <c r="W40" s="7"/>
      <c r="X40" s="7"/>
      <c r="Y40" s="46"/>
      <c r="Z40" s="7">
        <f t="shared" si="19"/>
        <v>0</v>
      </c>
      <c r="AA40" s="7"/>
      <c r="AC40" s="7"/>
    </row>
    <row r="41" spans="1:29">
      <c r="A41" s="18">
        <v>43909</v>
      </c>
      <c r="B41" s="37">
        <f t="shared" si="0"/>
        <v>-89777.777777777781</v>
      </c>
      <c r="C41" s="29">
        <v>-40000</v>
      </c>
      <c r="D41" s="29">
        <f t="shared" ref="D41" si="27">-I39*O$4*(A41-A39)/360</f>
        <v>-49777.777777777781</v>
      </c>
      <c r="E41" s="38"/>
      <c r="F41" s="39"/>
      <c r="G41" s="47"/>
      <c r="H41" s="24">
        <f t="shared" si="1"/>
        <v>2520000</v>
      </c>
      <c r="I41" s="41">
        <f t="shared" si="3"/>
        <v>2520000</v>
      </c>
      <c r="J41" s="29">
        <f t="shared" si="4"/>
        <v>0</v>
      </c>
      <c r="K41" s="42"/>
      <c r="L41" s="33">
        <f t="shared" si="2"/>
        <v>0</v>
      </c>
      <c r="M41" s="196"/>
      <c r="N41" s="29">
        <f t="shared" ref="N41" si="28">I40*O$4*(A41-A40+1)/360</f>
        <v>35555.555555555555</v>
      </c>
      <c r="O41" s="30"/>
      <c r="P41" s="43"/>
      <c r="Q41" s="44"/>
      <c r="R41" s="33"/>
      <c r="V41" s="45"/>
      <c r="W41" s="7"/>
      <c r="X41" s="7"/>
      <c r="Y41" s="46"/>
      <c r="Z41" s="7"/>
      <c r="AA41" s="7"/>
      <c r="AC41" s="7"/>
    </row>
    <row r="42" spans="1:29">
      <c r="A42" s="18">
        <v>43921</v>
      </c>
      <c r="B42" s="37">
        <f t="shared" si="0"/>
        <v>0</v>
      </c>
      <c r="C42" s="29"/>
      <c r="D42" s="29">
        <v>0</v>
      </c>
      <c r="E42" s="38"/>
      <c r="F42" s="39"/>
      <c r="G42" s="47"/>
      <c r="H42" s="24">
        <f t="shared" si="1"/>
        <v>2539250</v>
      </c>
      <c r="I42" s="41">
        <f t="shared" si="3"/>
        <v>2520000</v>
      </c>
      <c r="J42" s="29">
        <f t="shared" si="4"/>
        <v>19250</v>
      </c>
      <c r="K42" s="42"/>
      <c r="L42" s="33">
        <f t="shared" si="2"/>
        <v>0</v>
      </c>
      <c r="M42" s="196"/>
      <c r="N42" s="29">
        <f t="shared" si="21"/>
        <v>19250</v>
      </c>
      <c r="O42" s="30"/>
      <c r="P42" s="43"/>
      <c r="Q42" s="44"/>
      <c r="R42" s="33"/>
      <c r="V42" s="45"/>
      <c r="W42" s="7"/>
      <c r="X42" s="7"/>
      <c r="Y42" s="46"/>
      <c r="Z42" s="7">
        <f t="shared" si="19"/>
        <v>0</v>
      </c>
      <c r="AA42" s="7"/>
      <c r="AC42" s="7"/>
    </row>
    <row r="43" spans="1:29">
      <c r="A43" s="18">
        <v>43941</v>
      </c>
      <c r="B43" s="37">
        <f t="shared" si="0"/>
        <v>-96000</v>
      </c>
      <c r="C43" s="29">
        <v>-40000</v>
      </c>
      <c r="D43" s="29">
        <f t="shared" ref="D43" si="29">-I41*O$4*(A43-A41)/360</f>
        <v>-56000</v>
      </c>
      <c r="E43" s="38"/>
      <c r="F43" s="39"/>
      <c r="G43" s="47"/>
      <c r="H43" s="24">
        <f t="shared" si="1"/>
        <v>2480000</v>
      </c>
      <c r="I43" s="41">
        <f t="shared" si="3"/>
        <v>2480000</v>
      </c>
      <c r="J43" s="29">
        <f t="shared" si="4"/>
        <v>0</v>
      </c>
      <c r="K43" s="42"/>
      <c r="L43" s="33">
        <f t="shared" si="2"/>
        <v>0</v>
      </c>
      <c r="M43" s="196"/>
      <c r="N43" s="29">
        <f t="shared" ref="N43" si="30">I42*O$4*(A43-A42+1)/360</f>
        <v>36750</v>
      </c>
      <c r="O43" s="30"/>
      <c r="P43" s="43"/>
      <c r="Q43" s="44"/>
      <c r="R43" s="33"/>
      <c r="V43" s="45"/>
      <c r="W43" s="7"/>
      <c r="X43" s="7"/>
      <c r="Y43" s="46"/>
      <c r="Z43" s="7"/>
      <c r="AA43" s="7"/>
      <c r="AC43" s="7"/>
    </row>
    <row r="44" spans="1:29">
      <c r="A44" s="18">
        <v>43951</v>
      </c>
      <c r="B44" s="37">
        <f t="shared" si="0"/>
        <v>0</v>
      </c>
      <c r="C44" s="29"/>
      <c r="D44" s="29">
        <v>0</v>
      </c>
      <c r="E44" s="38"/>
      <c r="F44" s="39"/>
      <c r="G44" s="47"/>
      <c r="H44" s="24">
        <f t="shared" si="1"/>
        <v>2495500</v>
      </c>
      <c r="I44" s="41">
        <f t="shared" si="3"/>
        <v>2480000</v>
      </c>
      <c r="J44" s="29">
        <f t="shared" si="4"/>
        <v>15500</v>
      </c>
      <c r="K44" s="42"/>
      <c r="L44" s="33">
        <f t="shared" si="2"/>
        <v>0</v>
      </c>
      <c r="M44" s="196"/>
      <c r="N44" s="29">
        <f t="shared" si="21"/>
        <v>15500</v>
      </c>
      <c r="O44" s="30"/>
      <c r="P44" s="43"/>
      <c r="Q44" s="44"/>
      <c r="R44" s="33"/>
      <c r="V44" s="45"/>
      <c r="W44" s="7"/>
      <c r="X44" s="7"/>
      <c r="Y44" s="46"/>
      <c r="Z44" s="7">
        <f t="shared" si="19"/>
        <v>0</v>
      </c>
      <c r="AA44" s="7"/>
      <c r="AC44" s="7"/>
    </row>
    <row r="45" spans="1:29">
      <c r="A45" s="18">
        <v>43971</v>
      </c>
      <c r="B45" s="37">
        <f t="shared" si="0"/>
        <v>-91666.666666666657</v>
      </c>
      <c r="C45" s="29">
        <v>-40000</v>
      </c>
      <c r="D45" s="29">
        <f t="shared" ref="D45" si="31">-I43*O$4*(A45-A43)/360</f>
        <v>-51666.666666666664</v>
      </c>
      <c r="E45" s="38"/>
      <c r="F45" s="39"/>
      <c r="G45" s="47"/>
      <c r="H45" s="24">
        <f t="shared" si="1"/>
        <v>2440000</v>
      </c>
      <c r="I45" s="41">
        <f t="shared" si="3"/>
        <v>2440000</v>
      </c>
      <c r="J45" s="29">
        <f t="shared" si="4"/>
        <v>0</v>
      </c>
      <c r="K45" s="42"/>
      <c r="L45" s="33">
        <f t="shared" si="2"/>
        <v>0</v>
      </c>
      <c r="M45" s="196"/>
      <c r="N45" s="29">
        <f t="shared" ref="N45" si="32">I44*O$4*(A45-A44+1)/360</f>
        <v>36166.666666666664</v>
      </c>
      <c r="O45" s="30"/>
      <c r="P45" s="43"/>
      <c r="Q45" s="44"/>
      <c r="R45" s="33"/>
      <c r="V45" s="45"/>
      <c r="W45" s="7"/>
      <c r="X45" s="7"/>
      <c r="Y45" s="46"/>
      <c r="Z45" s="7"/>
      <c r="AA45" s="7"/>
      <c r="AC45" s="7"/>
    </row>
    <row r="46" spans="1:29">
      <c r="A46" s="18">
        <v>43982</v>
      </c>
      <c r="B46" s="37">
        <f t="shared" si="0"/>
        <v>0</v>
      </c>
      <c r="C46" s="29"/>
      <c r="D46" s="29">
        <v>0</v>
      </c>
      <c r="E46" s="38"/>
      <c r="F46" s="39"/>
      <c r="G46" s="47"/>
      <c r="H46" s="24">
        <f t="shared" si="1"/>
        <v>2456944.4444444445</v>
      </c>
      <c r="I46" s="41">
        <f t="shared" si="3"/>
        <v>2440000</v>
      </c>
      <c r="J46" s="29">
        <f t="shared" si="4"/>
        <v>16944.444444444445</v>
      </c>
      <c r="K46" s="42"/>
      <c r="L46" s="33">
        <f t="shared" si="2"/>
        <v>0</v>
      </c>
      <c r="M46" s="196"/>
      <c r="N46" s="29">
        <f t="shared" si="21"/>
        <v>16944.444444444445</v>
      </c>
      <c r="O46" s="30"/>
      <c r="P46" s="43"/>
      <c r="Q46" s="44"/>
      <c r="R46" s="33"/>
      <c r="V46" s="45"/>
      <c r="W46" s="7"/>
      <c r="X46" s="7"/>
      <c r="Y46" s="46"/>
      <c r="Z46" s="7">
        <f t="shared" si="19"/>
        <v>0</v>
      </c>
      <c r="AA46" s="7"/>
      <c r="AC46" s="7"/>
    </row>
    <row r="47" spans="1:29">
      <c r="A47" s="18">
        <v>44002</v>
      </c>
      <c r="B47" s="37">
        <f t="shared" si="0"/>
        <v>-92527.777777777781</v>
      </c>
      <c r="C47" s="29">
        <v>-40000</v>
      </c>
      <c r="D47" s="29">
        <f t="shared" ref="D47" si="33">-I45*O$4*(A47-A45)/360</f>
        <v>-52527.777777777781</v>
      </c>
      <c r="E47" s="38"/>
      <c r="F47" s="39"/>
      <c r="G47" s="47"/>
      <c r="H47" s="24">
        <f t="shared" si="1"/>
        <v>2400000</v>
      </c>
      <c r="I47" s="41">
        <f t="shared" si="3"/>
        <v>2400000</v>
      </c>
      <c r="J47" s="29">
        <f t="shared" si="4"/>
        <v>0</v>
      </c>
      <c r="K47" s="42"/>
      <c r="L47" s="33">
        <f t="shared" si="2"/>
        <v>0</v>
      </c>
      <c r="M47" s="196"/>
      <c r="N47" s="29">
        <f t="shared" ref="N47" si="34">I46*O$4*(A47-A46+1)/360</f>
        <v>35583.333333333336</v>
      </c>
      <c r="O47" s="30"/>
      <c r="P47" s="43"/>
      <c r="Q47" s="44"/>
      <c r="R47" s="33"/>
      <c r="V47" s="45"/>
      <c r="W47" s="7"/>
      <c r="X47" s="7"/>
      <c r="Y47" s="46"/>
      <c r="Z47" s="7"/>
      <c r="AA47" s="7"/>
      <c r="AC47" s="7"/>
    </row>
    <row r="48" spans="1:29">
      <c r="A48" s="18">
        <v>44012</v>
      </c>
      <c r="B48" s="37">
        <f t="shared" si="0"/>
        <v>0</v>
      </c>
      <c r="C48" s="29"/>
      <c r="D48" s="29">
        <v>0</v>
      </c>
      <c r="E48" s="38"/>
      <c r="F48" s="39"/>
      <c r="G48" s="47"/>
      <c r="H48" s="24">
        <f t="shared" si="1"/>
        <v>2415000</v>
      </c>
      <c r="I48" s="41">
        <f t="shared" si="3"/>
        <v>2400000</v>
      </c>
      <c r="J48" s="29">
        <f t="shared" si="4"/>
        <v>15000</v>
      </c>
      <c r="K48" s="42"/>
      <c r="L48" s="33">
        <f t="shared" si="2"/>
        <v>0</v>
      </c>
      <c r="M48" s="196"/>
      <c r="N48" s="29">
        <f t="shared" si="21"/>
        <v>15000</v>
      </c>
      <c r="O48" s="30"/>
      <c r="P48" s="43"/>
      <c r="Q48" s="44"/>
      <c r="R48" s="33"/>
      <c r="V48" s="45"/>
      <c r="W48" s="7"/>
      <c r="X48" s="7"/>
      <c r="Y48" s="46"/>
      <c r="Z48" s="7">
        <f t="shared" si="19"/>
        <v>0</v>
      </c>
      <c r="AA48" s="7"/>
      <c r="AC48" s="7"/>
    </row>
    <row r="49" spans="1:29">
      <c r="A49" s="18">
        <v>44030</v>
      </c>
      <c r="B49" s="37">
        <f t="shared" si="0"/>
        <v>-86666.666666666657</v>
      </c>
      <c r="C49" s="29">
        <v>-40000</v>
      </c>
      <c r="D49" s="29">
        <f t="shared" ref="D49" si="35">-I47*O$4*(A49-A47)/360</f>
        <v>-46666.666666666664</v>
      </c>
      <c r="E49" s="38"/>
      <c r="F49" s="39"/>
      <c r="G49" s="47"/>
      <c r="H49" s="24">
        <f t="shared" si="1"/>
        <v>2360000</v>
      </c>
      <c r="I49" s="41">
        <f t="shared" si="3"/>
        <v>2360000</v>
      </c>
      <c r="J49" s="29">
        <f t="shared" si="4"/>
        <v>0</v>
      </c>
      <c r="K49" s="42"/>
      <c r="L49" s="33">
        <f t="shared" si="2"/>
        <v>0</v>
      </c>
      <c r="M49" s="196"/>
      <c r="N49" s="29">
        <f t="shared" ref="N49" si="36">I48*O$4*(A49-A48+1)/360</f>
        <v>31666.666666666668</v>
      </c>
      <c r="O49" s="30"/>
      <c r="P49" s="43"/>
      <c r="Q49" s="44"/>
      <c r="R49" s="33"/>
      <c r="V49" s="45"/>
      <c r="W49" s="7"/>
      <c r="X49" s="7"/>
      <c r="Y49" s="46"/>
      <c r="Z49" s="7"/>
      <c r="AA49" s="7"/>
      <c r="AC49" s="7"/>
    </row>
    <row r="50" spans="1:29">
      <c r="A50" s="18">
        <v>44043</v>
      </c>
      <c r="B50" s="37">
        <f t="shared" si="0"/>
        <v>0</v>
      </c>
      <c r="C50" s="29"/>
      <c r="D50" s="29">
        <v>0</v>
      </c>
      <c r="E50" s="38"/>
      <c r="F50" s="39"/>
      <c r="G50" s="47"/>
      <c r="H50" s="24">
        <f t="shared" si="1"/>
        <v>2379666.6666666665</v>
      </c>
      <c r="I50" s="41">
        <f t="shared" si="3"/>
        <v>2360000</v>
      </c>
      <c r="J50" s="29">
        <f t="shared" si="4"/>
        <v>19666.666666666668</v>
      </c>
      <c r="K50" s="42"/>
      <c r="L50" s="33">
        <f t="shared" si="2"/>
        <v>0</v>
      </c>
      <c r="M50" s="196"/>
      <c r="N50" s="29">
        <f t="shared" si="21"/>
        <v>19666.666666666668</v>
      </c>
      <c r="O50" s="30"/>
      <c r="P50" s="43"/>
      <c r="Q50" s="44"/>
      <c r="R50" s="33"/>
      <c r="V50" s="45"/>
      <c r="W50" s="7"/>
      <c r="X50" s="7"/>
      <c r="Y50" s="46"/>
      <c r="Z50" s="7">
        <f t="shared" si="19"/>
        <v>0</v>
      </c>
      <c r="AA50" s="7"/>
      <c r="AC50" s="7"/>
    </row>
    <row r="51" spans="1:29">
      <c r="A51" s="18">
        <v>44063</v>
      </c>
      <c r="B51" s="37">
        <f t="shared" si="0"/>
        <v>-94083.333333333343</v>
      </c>
      <c r="C51" s="29">
        <v>-40000</v>
      </c>
      <c r="D51" s="29">
        <f t="shared" ref="D51" si="37">-I49*O$4*(A51-A49)/360</f>
        <v>-54083.333333333336</v>
      </c>
      <c r="E51" s="38"/>
      <c r="F51" s="39"/>
      <c r="G51" s="47"/>
      <c r="H51" s="24">
        <f t="shared" si="1"/>
        <v>2320000</v>
      </c>
      <c r="I51" s="41">
        <f t="shared" si="3"/>
        <v>2320000</v>
      </c>
      <c r="J51" s="29">
        <f t="shared" si="4"/>
        <v>0</v>
      </c>
      <c r="K51" s="42"/>
      <c r="L51" s="33">
        <f t="shared" si="2"/>
        <v>0</v>
      </c>
      <c r="M51" s="196"/>
      <c r="N51" s="29">
        <f t="shared" ref="N51" si="38">I50*O$4*(A51-A50+1)/360</f>
        <v>34416.666666666664</v>
      </c>
      <c r="O51" s="30"/>
      <c r="P51" s="43"/>
      <c r="Q51" s="44"/>
      <c r="R51" s="33"/>
      <c r="V51" s="45"/>
      <c r="W51" s="7"/>
      <c r="X51" s="7"/>
      <c r="Y51" s="46"/>
      <c r="Z51" s="7"/>
      <c r="AA51" s="7"/>
      <c r="AC51" s="7"/>
    </row>
    <row r="52" spans="1:29">
      <c r="A52" s="18">
        <v>44074</v>
      </c>
      <c r="B52" s="37">
        <f t="shared" si="0"/>
        <v>0</v>
      </c>
      <c r="C52" s="29"/>
      <c r="D52" s="29">
        <v>0</v>
      </c>
      <c r="E52" s="38"/>
      <c r="F52" s="39"/>
      <c r="G52" s="47"/>
      <c r="H52" s="24">
        <f t="shared" si="1"/>
        <v>2336111.111111111</v>
      </c>
      <c r="I52" s="41">
        <f t="shared" si="3"/>
        <v>2320000</v>
      </c>
      <c r="J52" s="29">
        <f t="shared" si="4"/>
        <v>16111.111111111111</v>
      </c>
      <c r="K52" s="42"/>
      <c r="L52" s="33">
        <f t="shared" si="2"/>
        <v>0</v>
      </c>
      <c r="M52" s="196"/>
      <c r="N52" s="29">
        <f t="shared" si="21"/>
        <v>16111.111111111111</v>
      </c>
      <c r="O52" s="30"/>
      <c r="P52" s="43"/>
      <c r="Q52" s="44"/>
      <c r="R52" s="33"/>
      <c r="V52" s="45"/>
      <c r="W52" s="7"/>
      <c r="X52" s="7"/>
      <c r="Y52" s="46"/>
      <c r="Z52" s="7">
        <f t="shared" si="19"/>
        <v>0</v>
      </c>
      <c r="AA52" s="7"/>
      <c r="AC52" s="7"/>
    </row>
    <row r="53" spans="1:29">
      <c r="A53" s="18">
        <v>44093</v>
      </c>
      <c r="B53" s="37">
        <f t="shared" si="0"/>
        <v>-88333.333333333343</v>
      </c>
      <c r="C53" s="29">
        <v>-40000</v>
      </c>
      <c r="D53" s="29">
        <f t="shared" ref="D53" si="39">-I51*O$4*(A53-A51)/360</f>
        <v>-48333.333333333336</v>
      </c>
      <c r="E53" s="38"/>
      <c r="F53" s="39"/>
      <c r="G53" s="47"/>
      <c r="H53" s="24">
        <f t="shared" si="1"/>
        <v>2280000</v>
      </c>
      <c r="I53" s="41">
        <f t="shared" si="3"/>
        <v>2280000</v>
      </c>
      <c r="J53" s="29">
        <f t="shared" si="4"/>
        <v>0</v>
      </c>
      <c r="K53" s="42"/>
      <c r="L53" s="33">
        <f t="shared" si="2"/>
        <v>0</v>
      </c>
      <c r="M53" s="196"/>
      <c r="N53" s="29">
        <f t="shared" ref="N53" si="40">I52*O$4*(A53-A52+1)/360</f>
        <v>32222.222222222223</v>
      </c>
      <c r="O53" s="30"/>
      <c r="P53" s="43"/>
      <c r="Q53" s="44"/>
      <c r="R53" s="33"/>
      <c r="V53" s="45"/>
      <c r="W53" s="7"/>
      <c r="X53" s="7"/>
      <c r="Y53" s="46"/>
      <c r="Z53" s="7"/>
      <c r="AA53" s="7"/>
      <c r="AC53" s="7"/>
    </row>
    <row r="54" spans="1:29">
      <c r="A54" s="18">
        <v>44104</v>
      </c>
      <c r="B54" s="37">
        <f t="shared" si="0"/>
        <v>0</v>
      </c>
      <c r="C54" s="29"/>
      <c r="D54" s="29">
        <v>0</v>
      </c>
      <c r="E54" s="38"/>
      <c r="F54" s="39"/>
      <c r="G54" s="47"/>
      <c r="H54" s="24">
        <f t="shared" si="1"/>
        <v>2295833.3333333335</v>
      </c>
      <c r="I54" s="41">
        <f t="shared" si="3"/>
        <v>2280000</v>
      </c>
      <c r="J54" s="29">
        <f t="shared" si="4"/>
        <v>15833.333333333334</v>
      </c>
      <c r="K54" s="42"/>
      <c r="L54" s="33">
        <f t="shared" si="2"/>
        <v>0</v>
      </c>
      <c r="M54" s="196"/>
      <c r="N54" s="29">
        <f t="shared" si="21"/>
        <v>15833.333333333334</v>
      </c>
      <c r="O54" s="30"/>
      <c r="P54" s="43"/>
      <c r="Q54" s="44"/>
      <c r="R54" s="33"/>
      <c r="V54" s="45"/>
      <c r="W54" s="7"/>
      <c r="X54" s="7"/>
      <c r="Y54" s="46"/>
      <c r="Z54" s="7">
        <f t="shared" si="19"/>
        <v>0</v>
      </c>
      <c r="AA54" s="7"/>
      <c r="AC54" s="7"/>
    </row>
    <row r="55" spans="1:29">
      <c r="A55" s="18">
        <v>44124</v>
      </c>
      <c r="B55" s="37">
        <f t="shared" si="0"/>
        <v>-89083.333333333343</v>
      </c>
      <c r="C55" s="29">
        <v>-40000</v>
      </c>
      <c r="D55" s="29">
        <f t="shared" ref="D55" si="41">-I53*O$4*(A55-A53)/360</f>
        <v>-49083.333333333336</v>
      </c>
      <c r="E55" s="38"/>
      <c r="F55" s="39"/>
      <c r="G55" s="47"/>
      <c r="H55" s="24">
        <f t="shared" si="1"/>
        <v>2240000</v>
      </c>
      <c r="I55" s="41">
        <f t="shared" si="3"/>
        <v>2240000</v>
      </c>
      <c r="J55" s="29">
        <f t="shared" si="4"/>
        <v>0</v>
      </c>
      <c r="K55" s="42"/>
      <c r="L55" s="33">
        <f t="shared" si="2"/>
        <v>0</v>
      </c>
      <c r="M55" s="196"/>
      <c r="N55" s="29">
        <f t="shared" ref="N55" si="42">I54*O$4*(A55-A54+1)/360</f>
        <v>33250</v>
      </c>
      <c r="O55" s="30"/>
      <c r="P55" s="43"/>
      <c r="Q55" s="44"/>
      <c r="R55" s="33"/>
      <c r="V55" s="45"/>
      <c r="W55" s="7"/>
      <c r="X55" s="7"/>
      <c r="Y55" s="46"/>
      <c r="Z55" s="7"/>
      <c r="AA55" s="7"/>
      <c r="AC55" s="7"/>
    </row>
    <row r="56" spans="1:29">
      <c r="A56" s="18">
        <v>44135</v>
      </c>
      <c r="B56" s="37">
        <f t="shared" si="0"/>
        <v>0</v>
      </c>
      <c r="C56" s="29"/>
      <c r="D56" s="29">
        <v>0</v>
      </c>
      <c r="E56" s="38"/>
      <c r="F56" s="39"/>
      <c r="G56" s="47"/>
      <c r="H56" s="24">
        <f t="shared" si="1"/>
        <v>2255555.5555555555</v>
      </c>
      <c r="I56" s="41">
        <f t="shared" si="3"/>
        <v>2240000</v>
      </c>
      <c r="J56" s="29">
        <f t="shared" si="4"/>
        <v>15555.555555555555</v>
      </c>
      <c r="K56" s="42"/>
      <c r="L56" s="33">
        <f t="shared" si="2"/>
        <v>0</v>
      </c>
      <c r="M56" s="196"/>
      <c r="N56" s="29">
        <f t="shared" si="21"/>
        <v>15555.555555555555</v>
      </c>
      <c r="O56" s="30"/>
      <c r="P56" s="43"/>
      <c r="Q56" s="44"/>
      <c r="R56" s="33"/>
      <c r="V56" s="45"/>
      <c r="W56" s="7"/>
      <c r="X56" s="7"/>
      <c r="Y56" s="46"/>
      <c r="Z56" s="7">
        <f t="shared" si="19"/>
        <v>0</v>
      </c>
      <c r="AA56" s="7"/>
      <c r="AC56" s="7"/>
    </row>
    <row r="57" spans="1:29">
      <c r="A57" s="18">
        <v>44155</v>
      </c>
      <c r="B57" s="37">
        <f t="shared" si="0"/>
        <v>-88222.222222222219</v>
      </c>
      <c r="C57" s="29">
        <v>-40000</v>
      </c>
      <c r="D57" s="29">
        <f t="shared" ref="D57" si="43">-I55*O$4*(A57-A55)/360</f>
        <v>-48222.222222222219</v>
      </c>
      <c r="E57" s="38"/>
      <c r="F57" s="39"/>
      <c r="G57" s="47"/>
      <c r="H57" s="24">
        <f t="shared" si="1"/>
        <v>2200000</v>
      </c>
      <c r="I57" s="41">
        <f t="shared" si="3"/>
        <v>2200000</v>
      </c>
      <c r="J57" s="29">
        <f t="shared" si="4"/>
        <v>0</v>
      </c>
      <c r="K57" s="42"/>
      <c r="L57" s="33">
        <f t="shared" si="2"/>
        <v>0</v>
      </c>
      <c r="M57" s="196"/>
      <c r="N57" s="29">
        <f t="shared" ref="N57" si="44">I56*O$4*(A57-A56+1)/360</f>
        <v>32666.666666666668</v>
      </c>
      <c r="O57" s="30"/>
      <c r="P57" s="43"/>
      <c r="Q57" s="44"/>
      <c r="R57" s="33"/>
      <c r="V57" s="45"/>
      <c r="W57" s="7"/>
      <c r="X57" s="7"/>
      <c r="Y57" s="46"/>
      <c r="Z57" s="7"/>
      <c r="AA57" s="7"/>
      <c r="AC57" s="7"/>
    </row>
    <row r="58" spans="1:29">
      <c r="A58" s="18">
        <v>44165</v>
      </c>
      <c r="B58" s="37">
        <f t="shared" si="0"/>
        <v>0</v>
      </c>
      <c r="C58" s="29"/>
      <c r="D58" s="29">
        <v>0</v>
      </c>
      <c r="E58" s="38"/>
      <c r="F58" s="39"/>
      <c r="G58" s="47"/>
      <c r="H58" s="24">
        <f t="shared" si="1"/>
        <v>2213750</v>
      </c>
      <c r="I58" s="41">
        <f t="shared" si="3"/>
        <v>2200000</v>
      </c>
      <c r="J58" s="29">
        <f t="shared" si="4"/>
        <v>13750</v>
      </c>
      <c r="K58" s="42"/>
      <c r="L58" s="33">
        <f t="shared" si="2"/>
        <v>0</v>
      </c>
      <c r="M58" s="196"/>
      <c r="N58" s="29">
        <f t="shared" si="21"/>
        <v>13750</v>
      </c>
      <c r="O58" s="30"/>
      <c r="P58" s="43"/>
      <c r="Q58" s="44"/>
      <c r="R58" s="33"/>
      <c r="V58" s="45"/>
      <c r="W58" s="7"/>
      <c r="X58" s="7"/>
      <c r="Y58" s="46"/>
      <c r="Z58" s="7">
        <f t="shared" si="19"/>
        <v>0</v>
      </c>
      <c r="AA58" s="7"/>
      <c r="AC58" s="7"/>
    </row>
    <row r="59" spans="1:29">
      <c r="A59" s="18">
        <v>44184</v>
      </c>
      <c r="B59" s="37">
        <f t="shared" si="0"/>
        <v>-84305.555555555562</v>
      </c>
      <c r="C59" s="29">
        <v>-40000</v>
      </c>
      <c r="D59" s="29">
        <f t="shared" ref="D59" si="45">-I57*O$4*(A59-A57)/360</f>
        <v>-44305.555555555555</v>
      </c>
      <c r="E59" s="38"/>
      <c r="F59" s="39"/>
      <c r="G59" s="47"/>
      <c r="H59" s="24">
        <f t="shared" si="1"/>
        <v>2160000</v>
      </c>
      <c r="I59" s="41">
        <f t="shared" si="3"/>
        <v>2160000</v>
      </c>
      <c r="J59" s="29">
        <f t="shared" si="4"/>
        <v>0</v>
      </c>
      <c r="K59" s="42"/>
      <c r="L59" s="33">
        <f t="shared" si="2"/>
        <v>0</v>
      </c>
      <c r="M59" s="196"/>
      <c r="N59" s="29">
        <f t="shared" ref="N59" si="46">I58*O$4*(A59-A58+1)/360</f>
        <v>30555.555555555555</v>
      </c>
      <c r="O59" s="30"/>
      <c r="P59" s="43"/>
      <c r="Q59" s="44"/>
      <c r="R59" s="33"/>
      <c r="V59" s="45"/>
      <c r="W59" s="7"/>
      <c r="X59" s="7"/>
      <c r="Y59" s="46"/>
      <c r="Z59" s="7"/>
      <c r="AA59" s="7"/>
      <c r="AC59" s="7"/>
    </row>
    <row r="60" spans="1:29">
      <c r="A60" s="18">
        <v>44196</v>
      </c>
      <c r="B60" s="37">
        <f t="shared" si="0"/>
        <v>0</v>
      </c>
      <c r="C60" s="29"/>
      <c r="D60" s="29">
        <v>0</v>
      </c>
      <c r="E60" s="38"/>
      <c r="F60" s="39"/>
      <c r="G60" s="47"/>
      <c r="H60" s="24">
        <f t="shared" si="1"/>
        <v>2176500</v>
      </c>
      <c r="I60" s="41">
        <f t="shared" si="3"/>
        <v>2160000</v>
      </c>
      <c r="J60" s="29">
        <f t="shared" si="4"/>
        <v>16500</v>
      </c>
      <c r="K60" s="42"/>
      <c r="L60" s="33">
        <f t="shared" si="2"/>
        <v>0</v>
      </c>
      <c r="M60" s="196"/>
      <c r="N60" s="29">
        <f t="shared" si="21"/>
        <v>16500</v>
      </c>
      <c r="O60" s="30"/>
      <c r="P60" s="43"/>
      <c r="Q60" s="44"/>
      <c r="R60" s="33"/>
      <c r="V60" s="45"/>
      <c r="W60" s="7"/>
      <c r="X60" s="7"/>
      <c r="Y60" s="46"/>
      <c r="Z60" s="7">
        <f t="shared" si="19"/>
        <v>0</v>
      </c>
      <c r="AA60" s="7"/>
      <c r="AC60" s="7"/>
    </row>
    <row r="61" spans="1:29">
      <c r="A61" s="18">
        <v>44216</v>
      </c>
      <c r="B61" s="37">
        <f t="shared" si="0"/>
        <v>-88000</v>
      </c>
      <c r="C61" s="29">
        <v>-40000</v>
      </c>
      <c r="D61" s="29">
        <f t="shared" ref="D61" si="47">-I59*O$4*(A61-A59)/360</f>
        <v>-48000</v>
      </c>
      <c r="E61" s="38"/>
      <c r="F61" s="39"/>
      <c r="G61" s="47"/>
      <c r="H61" s="24">
        <f t="shared" si="1"/>
        <v>2120000</v>
      </c>
      <c r="I61" s="41">
        <f t="shared" si="3"/>
        <v>2120000</v>
      </c>
      <c r="J61" s="29">
        <f t="shared" si="4"/>
        <v>0</v>
      </c>
      <c r="K61" s="42"/>
      <c r="L61" s="33">
        <f t="shared" si="2"/>
        <v>0</v>
      </c>
      <c r="M61" s="196"/>
      <c r="N61" s="29">
        <f t="shared" ref="N61" si="48">I60*O$4*(A61-A60+1)/360</f>
        <v>31500</v>
      </c>
      <c r="O61" s="30"/>
      <c r="P61" s="43"/>
      <c r="Q61" s="44"/>
      <c r="R61" s="33"/>
      <c r="V61" s="45"/>
      <c r="W61" s="7"/>
      <c r="X61" s="7"/>
      <c r="Y61" s="46"/>
      <c r="Z61" s="7"/>
      <c r="AA61" s="7"/>
      <c r="AC61" s="7"/>
    </row>
    <row r="62" spans="1:29">
      <c r="A62" s="18">
        <v>44227</v>
      </c>
      <c r="B62" s="37">
        <f t="shared" si="0"/>
        <v>0</v>
      </c>
      <c r="C62" s="29"/>
      <c r="D62" s="29">
        <v>0</v>
      </c>
      <c r="E62" s="38"/>
      <c r="F62" s="39"/>
      <c r="G62" s="47"/>
      <c r="H62" s="24">
        <f t="shared" si="1"/>
        <v>2134722.222222222</v>
      </c>
      <c r="I62" s="41">
        <f t="shared" si="3"/>
        <v>2120000</v>
      </c>
      <c r="J62" s="29">
        <f t="shared" si="4"/>
        <v>14722.222222222223</v>
      </c>
      <c r="K62" s="42"/>
      <c r="L62" s="33">
        <f t="shared" si="2"/>
        <v>0</v>
      </c>
      <c r="M62" s="196"/>
      <c r="N62" s="29">
        <f t="shared" si="21"/>
        <v>14722.222222222223</v>
      </c>
      <c r="O62" s="30"/>
      <c r="P62" s="43"/>
      <c r="Q62" s="44"/>
      <c r="R62" s="33"/>
      <c r="V62" s="45"/>
      <c r="W62" s="7"/>
      <c r="X62" s="7"/>
      <c r="Y62" s="46"/>
      <c r="Z62" s="7">
        <f t="shared" si="19"/>
        <v>0</v>
      </c>
      <c r="AA62" s="7"/>
      <c r="AC62" s="7"/>
    </row>
    <row r="63" spans="1:29">
      <c r="A63" s="18">
        <v>44247</v>
      </c>
      <c r="B63" s="37">
        <f t="shared" si="0"/>
        <v>-85638.888888888891</v>
      </c>
      <c r="C63" s="29">
        <v>-40000</v>
      </c>
      <c r="D63" s="29">
        <f t="shared" ref="D63" si="49">-I61*O$4*(A63-A61)/360</f>
        <v>-45638.888888888891</v>
      </c>
      <c r="E63" s="38"/>
      <c r="F63" s="39"/>
      <c r="G63" s="47"/>
      <c r="H63" s="24">
        <f t="shared" si="1"/>
        <v>2080000</v>
      </c>
      <c r="I63" s="41">
        <f t="shared" si="3"/>
        <v>2080000</v>
      </c>
      <c r="J63" s="29">
        <f t="shared" si="4"/>
        <v>0</v>
      </c>
      <c r="K63" s="42"/>
      <c r="L63" s="33">
        <f t="shared" si="2"/>
        <v>0</v>
      </c>
      <c r="M63" s="196"/>
      <c r="N63" s="29">
        <f t="shared" ref="N63" si="50">I62*O$4*(A63-A62+1)/360</f>
        <v>30916.666666666668</v>
      </c>
      <c r="O63" s="30"/>
      <c r="P63" s="43"/>
      <c r="Q63" s="44"/>
      <c r="R63" s="33"/>
      <c r="V63" s="45"/>
      <c r="W63" s="7"/>
      <c r="X63" s="7"/>
      <c r="Y63" s="46"/>
      <c r="Z63" s="7"/>
      <c r="AA63" s="7"/>
      <c r="AC63" s="7"/>
    </row>
    <row r="64" spans="1:29">
      <c r="A64" s="18">
        <v>44255</v>
      </c>
      <c r="B64" s="37">
        <f t="shared" si="0"/>
        <v>0</v>
      </c>
      <c r="C64" s="29"/>
      <c r="D64" s="29">
        <v>0</v>
      </c>
      <c r="E64" s="38"/>
      <c r="F64" s="39"/>
      <c r="G64" s="47"/>
      <c r="H64" s="24">
        <f t="shared" si="1"/>
        <v>2090111.111111111</v>
      </c>
      <c r="I64" s="41">
        <f t="shared" si="3"/>
        <v>2080000</v>
      </c>
      <c r="J64" s="29">
        <f t="shared" si="4"/>
        <v>10111.111111111111</v>
      </c>
      <c r="K64" s="42"/>
      <c r="L64" s="33">
        <f t="shared" si="2"/>
        <v>0</v>
      </c>
      <c r="M64" s="196"/>
      <c r="N64" s="29">
        <f t="shared" si="21"/>
        <v>10111.111111111111</v>
      </c>
      <c r="O64" s="30"/>
      <c r="P64" s="43"/>
      <c r="Q64" s="44"/>
      <c r="R64" s="33"/>
      <c r="V64" s="45"/>
      <c r="W64" s="7"/>
      <c r="X64" s="7"/>
      <c r="Y64" s="46"/>
      <c r="Z64" s="7">
        <f t="shared" si="19"/>
        <v>0</v>
      </c>
      <c r="AA64" s="7"/>
      <c r="AC64" s="7"/>
    </row>
    <row r="65" spans="1:29">
      <c r="A65" s="18">
        <v>44275</v>
      </c>
      <c r="B65" s="37">
        <f t="shared" si="0"/>
        <v>-80444.444444444438</v>
      </c>
      <c r="C65" s="29">
        <v>-40000</v>
      </c>
      <c r="D65" s="29">
        <f t="shared" ref="D65" si="51">-I63*O$4*(A65-A63)/360</f>
        <v>-40444.444444444445</v>
      </c>
      <c r="E65" s="38"/>
      <c r="F65" s="39"/>
      <c r="G65" s="47"/>
      <c r="H65" s="24">
        <f t="shared" si="1"/>
        <v>2040000</v>
      </c>
      <c r="I65" s="41">
        <f t="shared" si="3"/>
        <v>2040000</v>
      </c>
      <c r="J65" s="29">
        <f t="shared" si="4"/>
        <v>0</v>
      </c>
      <c r="K65" s="42"/>
      <c r="L65" s="33">
        <f t="shared" si="2"/>
        <v>0</v>
      </c>
      <c r="M65" s="196"/>
      <c r="N65" s="29">
        <f t="shared" ref="N65" si="52">I64*O$4*(A65-A64+1)/360</f>
        <v>30333.333333333332</v>
      </c>
      <c r="O65" s="30"/>
      <c r="P65" s="43"/>
      <c r="Q65" s="44"/>
      <c r="R65" s="33"/>
      <c r="V65" s="45"/>
      <c r="W65" s="7"/>
      <c r="X65" s="7"/>
      <c r="Y65" s="46"/>
      <c r="Z65" s="7"/>
      <c r="AA65" s="7"/>
      <c r="AC65" s="7"/>
    </row>
    <row r="66" spans="1:29">
      <c r="A66" s="18">
        <v>44286</v>
      </c>
      <c r="B66" s="37">
        <f t="shared" si="0"/>
        <v>0</v>
      </c>
      <c r="C66" s="29"/>
      <c r="D66" s="29">
        <v>0</v>
      </c>
      <c r="E66" s="38"/>
      <c r="F66" s="39"/>
      <c r="G66" s="47"/>
      <c r="H66" s="24">
        <f t="shared" si="1"/>
        <v>2054166.6666666667</v>
      </c>
      <c r="I66" s="41">
        <f t="shared" si="3"/>
        <v>2040000</v>
      </c>
      <c r="J66" s="29">
        <f t="shared" si="4"/>
        <v>14166.666666666666</v>
      </c>
      <c r="K66" s="42"/>
      <c r="L66" s="33">
        <f t="shared" si="2"/>
        <v>0</v>
      </c>
      <c r="M66" s="196"/>
      <c r="N66" s="29">
        <f t="shared" si="21"/>
        <v>14166.666666666666</v>
      </c>
      <c r="O66" s="30"/>
      <c r="P66" s="43"/>
      <c r="Q66" s="44"/>
      <c r="R66" s="33"/>
      <c r="V66" s="45"/>
      <c r="W66" s="7"/>
      <c r="X66" s="7"/>
      <c r="Y66" s="46"/>
      <c r="Z66" s="7">
        <f t="shared" si="19"/>
        <v>0</v>
      </c>
      <c r="AA66" s="7"/>
      <c r="AC66" s="7"/>
    </row>
    <row r="67" spans="1:29">
      <c r="A67" s="18">
        <v>44306</v>
      </c>
      <c r="B67" s="37">
        <f t="shared" si="0"/>
        <v>-83916.666666666657</v>
      </c>
      <c r="C67" s="29">
        <v>-40000</v>
      </c>
      <c r="D67" s="29">
        <f t="shared" ref="D67" si="53">-I65*O$4*(A67-A65)/360</f>
        <v>-43916.666666666664</v>
      </c>
      <c r="E67" s="38"/>
      <c r="F67" s="39"/>
      <c r="G67" s="47"/>
      <c r="H67" s="24">
        <f t="shared" si="1"/>
        <v>2000000</v>
      </c>
      <c r="I67" s="41">
        <f t="shared" si="3"/>
        <v>2000000</v>
      </c>
      <c r="J67" s="29">
        <f t="shared" si="4"/>
        <v>0</v>
      </c>
      <c r="K67" s="42"/>
      <c r="L67" s="33">
        <f t="shared" si="2"/>
        <v>0</v>
      </c>
      <c r="M67" s="196"/>
      <c r="N67" s="29">
        <f t="shared" ref="N67" si="54">I66*O$4*(A67-A66+1)/360</f>
        <v>29750</v>
      </c>
      <c r="O67" s="30"/>
      <c r="P67" s="43"/>
      <c r="Q67" s="44"/>
      <c r="R67" s="33"/>
      <c r="V67" s="45"/>
      <c r="W67" s="7"/>
      <c r="X67" s="7"/>
      <c r="Y67" s="46"/>
      <c r="Z67" s="7"/>
      <c r="AA67" s="7"/>
      <c r="AC67" s="7"/>
    </row>
    <row r="68" spans="1:29">
      <c r="A68" s="18">
        <v>44316</v>
      </c>
      <c r="B68" s="37">
        <f t="shared" si="0"/>
        <v>0</v>
      </c>
      <c r="C68" s="29"/>
      <c r="D68" s="29">
        <v>0</v>
      </c>
      <c r="E68" s="38"/>
      <c r="F68" s="39"/>
      <c r="G68" s="47"/>
      <c r="H68" s="24">
        <f t="shared" si="1"/>
        <v>2012500</v>
      </c>
      <c r="I68" s="41">
        <f t="shared" si="3"/>
        <v>2000000</v>
      </c>
      <c r="J68" s="29">
        <f t="shared" si="4"/>
        <v>12500</v>
      </c>
      <c r="K68" s="42"/>
      <c r="L68" s="33">
        <f t="shared" si="2"/>
        <v>0</v>
      </c>
      <c r="M68" s="196"/>
      <c r="N68" s="29">
        <f t="shared" si="21"/>
        <v>12500</v>
      </c>
      <c r="O68" s="30"/>
      <c r="P68" s="43"/>
      <c r="Q68" s="44"/>
      <c r="R68" s="33"/>
      <c r="V68" s="45"/>
      <c r="W68" s="7"/>
      <c r="X68" s="7"/>
      <c r="Y68" s="46"/>
      <c r="Z68" s="7">
        <f t="shared" si="19"/>
        <v>0</v>
      </c>
      <c r="AA68" s="7"/>
      <c r="AC68" s="7"/>
    </row>
    <row r="69" spans="1:29">
      <c r="A69" s="18">
        <v>44336</v>
      </c>
      <c r="B69" s="37">
        <f t="shared" si="0"/>
        <v>-81666.666666666657</v>
      </c>
      <c r="C69" s="29">
        <v>-40000</v>
      </c>
      <c r="D69" s="29">
        <f t="shared" ref="D69" si="55">-I67*O$4*(A69-A67)/360</f>
        <v>-41666.666666666664</v>
      </c>
      <c r="E69" s="38"/>
      <c r="F69" s="39"/>
      <c r="G69" s="47"/>
      <c r="H69" s="24">
        <f t="shared" si="1"/>
        <v>1960000</v>
      </c>
      <c r="I69" s="41">
        <f t="shared" si="3"/>
        <v>1960000</v>
      </c>
      <c r="J69" s="29">
        <f t="shared" si="4"/>
        <v>0</v>
      </c>
      <c r="K69" s="42"/>
      <c r="L69" s="33">
        <f t="shared" si="2"/>
        <v>0</v>
      </c>
      <c r="M69" s="196"/>
      <c r="N69" s="29">
        <f t="shared" ref="N69" si="56">I68*O$4*(A69-A68+1)/360</f>
        <v>29166.666666666668</v>
      </c>
      <c r="O69" s="30"/>
      <c r="P69" s="43"/>
      <c r="Q69" s="44"/>
      <c r="R69" s="33"/>
      <c r="V69" s="45"/>
      <c r="W69" s="7"/>
      <c r="X69" s="7"/>
      <c r="Y69" s="46"/>
      <c r="Z69" s="7"/>
      <c r="AA69" s="7"/>
      <c r="AC69" s="7"/>
    </row>
    <row r="70" spans="1:29">
      <c r="A70" s="18">
        <v>44347</v>
      </c>
      <c r="B70" s="37">
        <f t="shared" si="0"/>
        <v>0</v>
      </c>
      <c r="C70" s="29"/>
      <c r="D70" s="29">
        <v>0</v>
      </c>
      <c r="E70" s="38"/>
      <c r="F70" s="39"/>
      <c r="G70" s="47"/>
      <c r="H70" s="24">
        <f t="shared" si="1"/>
        <v>1973611.111111111</v>
      </c>
      <c r="I70" s="41">
        <f t="shared" si="3"/>
        <v>1960000</v>
      </c>
      <c r="J70" s="29">
        <f t="shared" si="4"/>
        <v>13611.111111111111</v>
      </c>
      <c r="K70" s="42"/>
      <c r="L70" s="33">
        <f t="shared" si="2"/>
        <v>0</v>
      </c>
      <c r="M70" s="196"/>
      <c r="N70" s="29">
        <f t="shared" si="21"/>
        <v>13611.111111111111</v>
      </c>
      <c r="O70" s="30"/>
      <c r="P70" s="43"/>
      <c r="Q70" s="44"/>
      <c r="R70" s="33"/>
      <c r="V70" s="45"/>
      <c r="W70" s="7"/>
      <c r="X70" s="7"/>
      <c r="Y70" s="46"/>
      <c r="Z70" s="7">
        <f t="shared" si="19"/>
        <v>0</v>
      </c>
      <c r="AA70" s="7"/>
      <c r="AC70" s="7"/>
    </row>
    <row r="71" spans="1:29">
      <c r="A71" s="18">
        <v>44367</v>
      </c>
      <c r="B71" s="37">
        <f t="shared" si="0"/>
        <v>-82194.444444444438</v>
      </c>
      <c r="C71" s="29">
        <v>-40000</v>
      </c>
      <c r="D71" s="29">
        <f t="shared" ref="D71" si="57">-I69*O$4*(A71-A69)/360</f>
        <v>-42194.444444444445</v>
      </c>
      <c r="E71" s="38"/>
      <c r="F71" s="39"/>
      <c r="G71" s="47"/>
      <c r="H71" s="24">
        <f t="shared" si="1"/>
        <v>1920000</v>
      </c>
      <c r="I71" s="41">
        <f t="shared" si="3"/>
        <v>1920000</v>
      </c>
      <c r="J71" s="29">
        <f t="shared" si="4"/>
        <v>0</v>
      </c>
      <c r="K71" s="42"/>
      <c r="L71" s="33">
        <f t="shared" si="2"/>
        <v>0</v>
      </c>
      <c r="M71" s="196"/>
      <c r="N71" s="29">
        <f t="shared" ref="N71" si="58">I70*O$4*(A71-A70+1)/360</f>
        <v>28583.333333333332</v>
      </c>
      <c r="O71" s="30"/>
      <c r="P71" s="43"/>
      <c r="Q71" s="44"/>
      <c r="R71" s="33"/>
      <c r="V71" s="45"/>
      <c r="W71" s="7"/>
      <c r="X71" s="7"/>
      <c r="Y71" s="46"/>
      <c r="Z71" s="7"/>
      <c r="AA71" s="7"/>
      <c r="AC71" s="7"/>
    </row>
    <row r="72" spans="1:29">
      <c r="A72" s="18">
        <v>44377</v>
      </c>
      <c r="B72" s="37">
        <f t="shared" si="0"/>
        <v>0</v>
      </c>
      <c r="C72" s="29"/>
      <c r="D72" s="29">
        <v>0</v>
      </c>
      <c r="E72" s="38"/>
      <c r="F72" s="39"/>
      <c r="G72" s="47"/>
      <c r="H72" s="24">
        <f t="shared" si="1"/>
        <v>1932000</v>
      </c>
      <c r="I72" s="41">
        <f t="shared" si="3"/>
        <v>1920000</v>
      </c>
      <c r="J72" s="29">
        <f t="shared" si="4"/>
        <v>12000</v>
      </c>
      <c r="K72" s="42"/>
      <c r="L72" s="33">
        <f t="shared" si="2"/>
        <v>0</v>
      </c>
      <c r="M72" s="196"/>
      <c r="N72" s="29">
        <f t="shared" si="21"/>
        <v>12000</v>
      </c>
      <c r="O72" s="30"/>
      <c r="P72" s="43"/>
      <c r="Q72" s="44"/>
      <c r="R72" s="33"/>
      <c r="V72" s="45"/>
      <c r="W72" s="7"/>
      <c r="X72" s="7"/>
      <c r="Y72" s="46"/>
      <c r="Z72" s="7">
        <f t="shared" si="19"/>
        <v>0</v>
      </c>
      <c r="AA72" s="7"/>
      <c r="AC72" s="7"/>
    </row>
    <row r="73" spans="1:29">
      <c r="A73" s="18">
        <v>44397</v>
      </c>
      <c r="B73" s="37">
        <f t="shared" si="0"/>
        <v>-80000</v>
      </c>
      <c r="C73" s="29">
        <v>-40000</v>
      </c>
      <c r="D73" s="29">
        <f t="shared" ref="D73" si="59">-I71*O$4*(A73-A71)/360</f>
        <v>-40000</v>
      </c>
      <c r="E73" s="38"/>
      <c r="F73" s="39"/>
      <c r="G73" s="47"/>
      <c r="H73" s="24">
        <f t="shared" si="1"/>
        <v>1880000</v>
      </c>
      <c r="I73" s="41">
        <f t="shared" si="3"/>
        <v>1880000</v>
      </c>
      <c r="J73" s="29">
        <f t="shared" si="4"/>
        <v>0</v>
      </c>
      <c r="K73" s="42"/>
      <c r="L73" s="33">
        <f t="shared" si="2"/>
        <v>0</v>
      </c>
      <c r="M73" s="196"/>
      <c r="N73" s="29">
        <f t="shared" ref="N73" si="60">I72*O$4*(A73-A72+1)/360</f>
        <v>28000</v>
      </c>
      <c r="O73" s="30"/>
      <c r="P73" s="43"/>
      <c r="Q73" s="44"/>
      <c r="R73" s="33"/>
      <c r="V73" s="45"/>
      <c r="W73" s="7"/>
      <c r="X73" s="7"/>
      <c r="Y73" s="46"/>
      <c r="Z73" s="7"/>
      <c r="AA73" s="7"/>
      <c r="AC73" s="7"/>
    </row>
    <row r="74" spans="1:29">
      <c r="A74" s="18">
        <v>44408</v>
      </c>
      <c r="B74" s="37">
        <f t="shared" si="0"/>
        <v>0</v>
      </c>
      <c r="C74" s="29"/>
      <c r="D74" s="29">
        <v>0</v>
      </c>
      <c r="E74" s="38"/>
      <c r="F74" s="39"/>
      <c r="G74" s="47"/>
      <c r="H74" s="24">
        <f t="shared" si="1"/>
        <v>1893055.5555555555</v>
      </c>
      <c r="I74" s="41">
        <f t="shared" si="3"/>
        <v>1880000</v>
      </c>
      <c r="J74" s="29">
        <f t="shared" si="4"/>
        <v>13055.555555555555</v>
      </c>
      <c r="K74" s="42"/>
      <c r="L74" s="33">
        <f t="shared" si="2"/>
        <v>0</v>
      </c>
      <c r="M74" s="196"/>
      <c r="N74" s="29">
        <f t="shared" si="21"/>
        <v>13055.555555555555</v>
      </c>
      <c r="O74" s="30"/>
      <c r="P74" s="43"/>
      <c r="Q74" s="44"/>
      <c r="R74" s="33"/>
      <c r="V74" s="45"/>
      <c r="W74" s="7"/>
      <c r="X74" s="7"/>
      <c r="Y74" s="46"/>
      <c r="Z74" s="7">
        <f t="shared" si="19"/>
        <v>0</v>
      </c>
      <c r="AA74" s="7"/>
      <c r="AC74" s="7"/>
    </row>
    <row r="75" spans="1:29">
      <c r="A75" s="18">
        <v>44428</v>
      </c>
      <c r="B75" s="37">
        <f t="shared" si="0"/>
        <v>-80472.222222222219</v>
      </c>
      <c r="C75" s="29">
        <v>-40000</v>
      </c>
      <c r="D75" s="29">
        <f t="shared" ref="D75" si="61">-I73*O$4*(A75-A73)/360</f>
        <v>-40472.222222222219</v>
      </c>
      <c r="E75" s="38"/>
      <c r="F75" s="39"/>
      <c r="G75" s="47"/>
      <c r="H75" s="24">
        <f t="shared" si="1"/>
        <v>1840000</v>
      </c>
      <c r="I75" s="41">
        <f t="shared" si="3"/>
        <v>1840000</v>
      </c>
      <c r="J75" s="29">
        <f t="shared" si="4"/>
        <v>0</v>
      </c>
      <c r="K75" s="42"/>
      <c r="L75" s="33">
        <f t="shared" si="2"/>
        <v>0</v>
      </c>
      <c r="M75" s="196"/>
      <c r="N75" s="29">
        <f t="shared" ref="N75" si="62">I74*O$4*(A75-A74+1)/360</f>
        <v>27416.666666666668</v>
      </c>
      <c r="O75" s="30"/>
      <c r="P75" s="43"/>
      <c r="Q75" s="44"/>
      <c r="R75" s="33"/>
      <c r="V75" s="45"/>
      <c r="W75" s="7"/>
      <c r="X75" s="7"/>
      <c r="Y75" s="46"/>
      <c r="Z75" s="7"/>
      <c r="AA75" s="7"/>
      <c r="AC75" s="7"/>
    </row>
    <row r="76" spans="1:29">
      <c r="A76" s="18">
        <v>44439</v>
      </c>
      <c r="B76" s="37">
        <f t="shared" si="0"/>
        <v>0</v>
      </c>
      <c r="C76" s="29"/>
      <c r="D76" s="29">
        <v>0</v>
      </c>
      <c r="E76" s="38"/>
      <c r="F76" s="39"/>
      <c r="G76" s="47"/>
      <c r="H76" s="24">
        <f t="shared" si="1"/>
        <v>1852777.7777777778</v>
      </c>
      <c r="I76" s="41">
        <f t="shared" si="3"/>
        <v>1840000</v>
      </c>
      <c r="J76" s="29">
        <f t="shared" si="4"/>
        <v>12777.777777777777</v>
      </c>
      <c r="K76" s="42"/>
      <c r="L76" s="33">
        <f t="shared" si="2"/>
        <v>0</v>
      </c>
      <c r="M76" s="196"/>
      <c r="N76" s="29">
        <f t="shared" si="21"/>
        <v>12777.777777777777</v>
      </c>
      <c r="O76" s="30"/>
      <c r="P76" s="43"/>
      <c r="Q76" s="44"/>
      <c r="R76" s="33"/>
      <c r="V76" s="45"/>
      <c r="W76" s="7"/>
      <c r="X76" s="7"/>
      <c r="Y76" s="46"/>
      <c r="Z76" s="7">
        <f t="shared" si="19"/>
        <v>0</v>
      </c>
      <c r="AA76" s="7"/>
      <c r="AC76" s="7"/>
    </row>
    <row r="77" spans="1:29">
      <c r="A77" s="18">
        <v>44459</v>
      </c>
      <c r="B77" s="37">
        <f t="shared" si="0"/>
        <v>-79611.111111111109</v>
      </c>
      <c r="C77" s="29">
        <v>-40000</v>
      </c>
      <c r="D77" s="29">
        <f t="shared" ref="D77" si="63">-I75*O$4*(A77-A75)/360</f>
        <v>-39611.111111111109</v>
      </c>
      <c r="E77" s="38"/>
      <c r="F77" s="39"/>
      <c r="G77" s="47"/>
      <c r="H77" s="24">
        <f t="shared" si="1"/>
        <v>1800000</v>
      </c>
      <c r="I77" s="41">
        <f t="shared" si="3"/>
        <v>1800000</v>
      </c>
      <c r="J77" s="29">
        <f t="shared" si="4"/>
        <v>0</v>
      </c>
      <c r="K77" s="42"/>
      <c r="L77" s="33">
        <f t="shared" si="2"/>
        <v>0</v>
      </c>
      <c r="M77" s="196"/>
      <c r="N77" s="29">
        <f t="shared" ref="N77" si="64">I76*O$4*(A77-A76+1)/360</f>
        <v>26833.333333333332</v>
      </c>
      <c r="O77" s="30"/>
      <c r="P77" s="43"/>
      <c r="Q77" s="44"/>
      <c r="R77" s="33"/>
      <c r="V77" s="45"/>
      <c r="W77" s="7"/>
      <c r="X77" s="7"/>
      <c r="Y77" s="46"/>
      <c r="Z77" s="7"/>
      <c r="AA77" s="7"/>
      <c r="AC77" s="7"/>
    </row>
    <row r="78" spans="1:29">
      <c r="A78" s="18">
        <v>44469</v>
      </c>
      <c r="B78" s="37">
        <f t="shared" si="0"/>
        <v>0</v>
      </c>
      <c r="C78" s="29"/>
      <c r="D78" s="29">
        <v>0</v>
      </c>
      <c r="E78" s="38"/>
      <c r="F78" s="39"/>
      <c r="G78" s="47"/>
      <c r="H78" s="24">
        <f t="shared" si="1"/>
        <v>1811250</v>
      </c>
      <c r="I78" s="41">
        <f t="shared" si="3"/>
        <v>1800000</v>
      </c>
      <c r="J78" s="29">
        <f t="shared" si="4"/>
        <v>11250</v>
      </c>
      <c r="K78" s="42"/>
      <c r="L78" s="33">
        <f t="shared" si="2"/>
        <v>0</v>
      </c>
      <c r="M78" s="196"/>
      <c r="N78" s="29">
        <f t="shared" si="21"/>
        <v>11250</v>
      </c>
      <c r="O78" s="30"/>
      <c r="P78" s="43"/>
      <c r="Q78" s="44"/>
      <c r="R78" s="33"/>
      <c r="V78" s="45"/>
      <c r="W78" s="7"/>
      <c r="X78" s="7"/>
      <c r="Y78" s="46"/>
      <c r="Z78" s="7">
        <f t="shared" si="19"/>
        <v>0</v>
      </c>
      <c r="AA78" s="7"/>
      <c r="AC78" s="7"/>
    </row>
    <row r="79" spans="1:29">
      <c r="A79" s="18">
        <v>44489</v>
      </c>
      <c r="B79" s="37">
        <f t="shared" si="0"/>
        <v>-77500</v>
      </c>
      <c r="C79" s="29">
        <v>-40000</v>
      </c>
      <c r="D79" s="29">
        <f t="shared" ref="D79" si="65">-I77*O$4*(A79-A77)/360</f>
        <v>-37500</v>
      </c>
      <c r="E79" s="38"/>
      <c r="F79" s="39"/>
      <c r="G79" s="47"/>
      <c r="H79" s="24">
        <f t="shared" si="1"/>
        <v>1760000</v>
      </c>
      <c r="I79" s="41">
        <f t="shared" si="3"/>
        <v>1760000</v>
      </c>
      <c r="J79" s="29">
        <f t="shared" si="4"/>
        <v>0</v>
      </c>
      <c r="K79" s="42"/>
      <c r="L79" s="33">
        <f t="shared" si="2"/>
        <v>0</v>
      </c>
      <c r="M79" s="196"/>
      <c r="N79" s="29">
        <f t="shared" ref="N79" si="66">I78*O$4*(A79-A78+1)/360</f>
        <v>26250</v>
      </c>
      <c r="O79" s="30"/>
      <c r="P79" s="43"/>
      <c r="Q79" s="44"/>
      <c r="R79" s="33"/>
      <c r="V79" s="45"/>
      <c r="W79" s="7"/>
      <c r="X79" s="7"/>
      <c r="Y79" s="46"/>
      <c r="Z79" s="7"/>
      <c r="AA79" s="7"/>
      <c r="AC79" s="7"/>
    </row>
    <row r="80" spans="1:29">
      <c r="A80" s="18">
        <v>44500</v>
      </c>
      <c r="B80" s="37">
        <f t="shared" si="0"/>
        <v>0</v>
      </c>
      <c r="C80" s="29"/>
      <c r="D80" s="29">
        <v>0</v>
      </c>
      <c r="E80" s="38"/>
      <c r="F80" s="39"/>
      <c r="G80" s="47"/>
      <c r="H80" s="24">
        <f t="shared" si="1"/>
        <v>1772222.2222222222</v>
      </c>
      <c r="I80" s="41">
        <f t="shared" si="3"/>
        <v>1760000</v>
      </c>
      <c r="J80" s="29">
        <f t="shared" si="4"/>
        <v>12222.222222222223</v>
      </c>
      <c r="K80" s="42"/>
      <c r="L80" s="33">
        <f t="shared" si="2"/>
        <v>0</v>
      </c>
      <c r="M80" s="196"/>
      <c r="N80" s="29">
        <f t="shared" si="21"/>
        <v>12222.222222222223</v>
      </c>
      <c r="O80" s="30"/>
      <c r="P80" s="43"/>
      <c r="Q80" s="44"/>
      <c r="R80" s="33"/>
      <c r="V80" s="45"/>
      <c r="W80" s="7"/>
      <c r="X80" s="7"/>
      <c r="Y80" s="46"/>
      <c r="Z80" s="7">
        <f t="shared" si="19"/>
        <v>0</v>
      </c>
      <c r="AA80" s="7"/>
      <c r="AC80" s="7"/>
    </row>
    <row r="81" spans="1:29">
      <c r="A81" s="18">
        <v>44520</v>
      </c>
      <c r="B81" s="37">
        <f t="shared" si="0"/>
        <v>-77888.888888888891</v>
      </c>
      <c r="C81" s="29">
        <v>-40000</v>
      </c>
      <c r="D81" s="29">
        <f t="shared" ref="D81" si="67">-I79*O$4*(A81-A79)/360</f>
        <v>-37888.888888888891</v>
      </c>
      <c r="E81" s="38"/>
      <c r="F81" s="39"/>
      <c r="G81" s="47"/>
      <c r="H81" s="24">
        <f t="shared" si="1"/>
        <v>1720000</v>
      </c>
      <c r="I81" s="41">
        <f t="shared" si="3"/>
        <v>1720000</v>
      </c>
      <c r="J81" s="29">
        <f t="shared" si="4"/>
        <v>0</v>
      </c>
      <c r="K81" s="42"/>
      <c r="L81" s="33">
        <f t="shared" si="2"/>
        <v>0</v>
      </c>
      <c r="M81" s="196"/>
      <c r="N81" s="29">
        <f t="shared" ref="N81" si="68">I80*O$4*(A81-A80+1)/360</f>
        <v>25666.666666666668</v>
      </c>
      <c r="O81" s="30"/>
      <c r="P81" s="43"/>
      <c r="Q81" s="44"/>
      <c r="R81" s="33"/>
      <c r="V81" s="45"/>
      <c r="W81" s="7"/>
      <c r="X81" s="7"/>
      <c r="Y81" s="46"/>
      <c r="Z81" s="7"/>
      <c r="AA81" s="7"/>
      <c r="AC81" s="7"/>
    </row>
    <row r="82" spans="1:29">
      <c r="A82" s="18">
        <v>44530</v>
      </c>
      <c r="B82" s="37">
        <f t="shared" si="0"/>
        <v>0</v>
      </c>
      <c r="C82" s="29"/>
      <c r="D82" s="29">
        <v>0</v>
      </c>
      <c r="E82" s="38"/>
      <c r="F82" s="39"/>
      <c r="G82" s="47"/>
      <c r="H82" s="24">
        <f t="shared" si="1"/>
        <v>1730750</v>
      </c>
      <c r="I82" s="41">
        <f t="shared" si="3"/>
        <v>1720000</v>
      </c>
      <c r="J82" s="29">
        <f t="shared" si="4"/>
        <v>10750</v>
      </c>
      <c r="K82" s="42"/>
      <c r="L82" s="33">
        <f t="shared" si="2"/>
        <v>0</v>
      </c>
      <c r="M82" s="196"/>
      <c r="N82" s="29">
        <f t="shared" si="21"/>
        <v>10750</v>
      </c>
      <c r="O82" s="30"/>
      <c r="P82" s="43"/>
      <c r="Q82" s="44"/>
      <c r="R82" s="33"/>
      <c r="V82" s="45"/>
      <c r="W82" s="7"/>
      <c r="X82" s="7"/>
      <c r="Y82" s="46"/>
      <c r="Z82" s="7">
        <f t="shared" si="19"/>
        <v>0</v>
      </c>
      <c r="AA82" s="7"/>
      <c r="AC82" s="7"/>
    </row>
    <row r="83" spans="1:29">
      <c r="A83" s="18">
        <v>44550</v>
      </c>
      <c r="B83" s="37">
        <f t="shared" si="0"/>
        <v>-75833.333333333343</v>
      </c>
      <c r="C83" s="29">
        <v>-40000</v>
      </c>
      <c r="D83" s="29">
        <f t="shared" ref="D83" si="69">-I81*O$4*(A83-A81)/360</f>
        <v>-35833.333333333336</v>
      </c>
      <c r="E83" s="38"/>
      <c r="F83" s="39"/>
      <c r="G83" s="47"/>
      <c r="H83" s="24">
        <f t="shared" si="1"/>
        <v>1680000</v>
      </c>
      <c r="I83" s="41">
        <f t="shared" si="3"/>
        <v>1680000</v>
      </c>
      <c r="J83" s="29">
        <f t="shared" si="4"/>
        <v>0</v>
      </c>
      <c r="K83" s="42"/>
      <c r="L83" s="33">
        <f t="shared" si="2"/>
        <v>0</v>
      </c>
      <c r="M83" s="196"/>
      <c r="N83" s="29">
        <f t="shared" ref="N83" si="70">I82*O$4*(A83-A82+1)/360</f>
        <v>25083.333333333332</v>
      </c>
      <c r="O83" s="30"/>
      <c r="P83" s="43"/>
      <c r="Q83" s="44"/>
      <c r="R83" s="33"/>
      <c r="V83" s="45"/>
      <c r="W83" s="7"/>
      <c r="X83" s="7"/>
      <c r="Y83" s="46"/>
      <c r="Z83" s="7"/>
      <c r="AA83" s="7"/>
      <c r="AC83" s="7"/>
    </row>
    <row r="84" spans="1:29">
      <c r="A84" s="18">
        <v>44561</v>
      </c>
      <c r="B84" s="37">
        <f t="shared" si="0"/>
        <v>0</v>
      </c>
      <c r="C84" s="29"/>
      <c r="D84" s="29">
        <v>0</v>
      </c>
      <c r="E84" s="38"/>
      <c r="F84" s="39"/>
      <c r="G84" s="47"/>
      <c r="H84" s="24">
        <f t="shared" si="1"/>
        <v>1691666.6666666667</v>
      </c>
      <c r="I84" s="41">
        <f t="shared" si="3"/>
        <v>1680000</v>
      </c>
      <c r="J84" s="29">
        <f t="shared" si="4"/>
        <v>11666.666666666666</v>
      </c>
      <c r="K84" s="42"/>
      <c r="L84" s="33">
        <f t="shared" si="2"/>
        <v>0</v>
      </c>
      <c r="M84" s="196"/>
      <c r="N84" s="29">
        <f t="shared" si="21"/>
        <v>11666.666666666666</v>
      </c>
      <c r="O84" s="30"/>
      <c r="P84" s="43"/>
      <c r="Q84" s="44"/>
      <c r="R84" s="33"/>
      <c r="V84" s="45"/>
      <c r="W84" s="7"/>
      <c r="X84" s="7"/>
      <c r="Y84" s="46"/>
      <c r="Z84" s="7">
        <f t="shared" si="19"/>
        <v>0</v>
      </c>
      <c r="AA84" s="7"/>
      <c r="AC84" s="7"/>
    </row>
    <row r="85" spans="1:29">
      <c r="A85" s="18">
        <v>44581</v>
      </c>
      <c r="B85" s="37">
        <f t="shared" si="0"/>
        <v>-76166.666666666657</v>
      </c>
      <c r="C85" s="29">
        <v>-40000</v>
      </c>
      <c r="D85" s="29">
        <f t="shared" ref="D85" si="71">-I83*O$4*(A85-A83)/360</f>
        <v>-36166.666666666664</v>
      </c>
      <c r="E85" s="38"/>
      <c r="F85" s="39"/>
      <c r="G85" s="47"/>
      <c r="H85" s="24">
        <f t="shared" si="1"/>
        <v>1640000</v>
      </c>
      <c r="I85" s="41">
        <f t="shared" si="3"/>
        <v>1640000</v>
      </c>
      <c r="J85" s="29">
        <f t="shared" si="4"/>
        <v>0</v>
      </c>
      <c r="K85" s="42"/>
      <c r="L85" s="33">
        <f t="shared" si="2"/>
        <v>0</v>
      </c>
      <c r="M85" s="196"/>
      <c r="N85" s="29">
        <f t="shared" ref="N85" si="72">I84*O$4*(A85-A84+1)/360</f>
        <v>24500</v>
      </c>
      <c r="O85" s="30"/>
      <c r="P85" s="43"/>
      <c r="Q85" s="44"/>
      <c r="R85" s="33"/>
      <c r="V85" s="45"/>
      <c r="W85" s="7"/>
      <c r="X85" s="7"/>
      <c r="Y85" s="46"/>
      <c r="Z85" s="7"/>
      <c r="AA85" s="7"/>
      <c r="AC85" s="7"/>
    </row>
    <row r="86" spans="1:29">
      <c r="A86" s="18">
        <v>44592</v>
      </c>
      <c r="B86" s="37">
        <f t="shared" si="0"/>
        <v>0</v>
      </c>
      <c r="C86" s="29"/>
      <c r="D86" s="29">
        <v>0</v>
      </c>
      <c r="E86" s="38"/>
      <c r="F86" s="39"/>
      <c r="G86" s="47"/>
      <c r="H86" s="24">
        <f t="shared" si="1"/>
        <v>1651388.888888889</v>
      </c>
      <c r="I86" s="41">
        <f t="shared" si="3"/>
        <v>1640000</v>
      </c>
      <c r="J86" s="29">
        <f t="shared" si="4"/>
        <v>11388.888888888889</v>
      </c>
      <c r="K86" s="42"/>
      <c r="L86" s="33">
        <f t="shared" si="2"/>
        <v>0</v>
      </c>
      <c r="M86" s="196"/>
      <c r="N86" s="29">
        <f t="shared" si="21"/>
        <v>11388.888888888889</v>
      </c>
      <c r="O86" s="30"/>
      <c r="P86" s="43"/>
      <c r="Q86" s="44"/>
      <c r="R86" s="33"/>
      <c r="V86" s="45"/>
      <c r="W86" s="7"/>
      <c r="X86" s="7"/>
      <c r="Y86" s="46"/>
      <c r="Z86" s="7">
        <f t="shared" si="19"/>
        <v>0</v>
      </c>
      <c r="AA86" s="7"/>
      <c r="AC86" s="7"/>
    </row>
    <row r="87" spans="1:29">
      <c r="A87" s="18">
        <v>44612</v>
      </c>
      <c r="B87" s="37">
        <f t="shared" si="0"/>
        <v>-75305.555555555562</v>
      </c>
      <c r="C87" s="29">
        <v>-40000</v>
      </c>
      <c r="D87" s="29">
        <f t="shared" ref="D87" si="73">-I85*O$4*(A87-A85)/360</f>
        <v>-35305.555555555555</v>
      </c>
      <c r="E87" s="38"/>
      <c r="F87" s="39"/>
      <c r="G87" s="47"/>
      <c r="H87" s="24">
        <f t="shared" si="1"/>
        <v>1600000</v>
      </c>
      <c r="I87" s="41">
        <f t="shared" ref="I87:I150" si="74">I86+C87</f>
        <v>1600000</v>
      </c>
      <c r="J87" s="29">
        <f t="shared" ref="J87:J150" si="75">J86+N87+D87</f>
        <v>0</v>
      </c>
      <c r="K87" s="42"/>
      <c r="L87" s="33">
        <f t="shared" si="2"/>
        <v>0</v>
      </c>
      <c r="M87" s="196"/>
      <c r="N87" s="29">
        <f t="shared" ref="N87" si="76">I86*O$4*(A87-A86+1)/360</f>
        <v>23916.666666666668</v>
      </c>
      <c r="O87" s="30"/>
      <c r="P87" s="43"/>
      <c r="Q87" s="44"/>
      <c r="R87" s="33"/>
      <c r="V87" s="45"/>
      <c r="W87" s="7"/>
      <c r="X87" s="7"/>
      <c r="Y87" s="46"/>
      <c r="Z87" s="7"/>
      <c r="AA87" s="7"/>
      <c r="AC87" s="7"/>
    </row>
    <row r="88" spans="1:29">
      <c r="A88" s="18">
        <v>44620</v>
      </c>
      <c r="B88" s="37">
        <f t="shared" si="0"/>
        <v>0</v>
      </c>
      <c r="C88" s="29"/>
      <c r="D88" s="29">
        <v>0</v>
      </c>
      <c r="E88" s="38"/>
      <c r="F88" s="39"/>
      <c r="G88" s="47"/>
      <c r="H88" s="24">
        <f t="shared" si="1"/>
        <v>1607777.7777777778</v>
      </c>
      <c r="I88" s="41">
        <f t="shared" si="74"/>
        <v>1600000</v>
      </c>
      <c r="J88" s="29">
        <f t="shared" si="75"/>
        <v>7777.7777777777774</v>
      </c>
      <c r="K88" s="42"/>
      <c r="L88" s="33">
        <f t="shared" si="2"/>
        <v>0</v>
      </c>
      <c r="M88" s="196"/>
      <c r="N88" s="29">
        <f t="shared" si="21"/>
        <v>7777.7777777777774</v>
      </c>
      <c r="O88" s="30"/>
      <c r="P88" s="43"/>
      <c r="Q88" s="44"/>
      <c r="R88" s="33"/>
      <c r="V88" s="45"/>
      <c r="W88" s="7"/>
      <c r="X88" s="7"/>
      <c r="Y88" s="46"/>
      <c r="Z88" s="7">
        <f t="shared" si="19"/>
        <v>0</v>
      </c>
      <c r="AA88" s="7"/>
      <c r="AC88" s="7"/>
    </row>
    <row r="89" spans="1:29">
      <c r="A89" s="18">
        <v>44640</v>
      </c>
      <c r="B89" s="37">
        <f t="shared" si="0"/>
        <v>-71111.111111111109</v>
      </c>
      <c r="C89" s="29">
        <v>-40000</v>
      </c>
      <c r="D89" s="29">
        <f t="shared" ref="D89" si="77">-I87*O$4*(A89-A87)/360</f>
        <v>-31111.111111111109</v>
      </c>
      <c r="E89" s="38"/>
      <c r="F89" s="39"/>
      <c r="G89" s="47"/>
      <c r="H89" s="24">
        <f t="shared" si="1"/>
        <v>1560000</v>
      </c>
      <c r="I89" s="41">
        <f t="shared" si="74"/>
        <v>1560000</v>
      </c>
      <c r="J89" s="29">
        <f t="shared" si="75"/>
        <v>0</v>
      </c>
      <c r="K89" s="42"/>
      <c r="L89" s="33">
        <f t="shared" si="2"/>
        <v>0</v>
      </c>
      <c r="M89" s="196"/>
      <c r="N89" s="29">
        <f t="shared" ref="N89" si="78">I88*O$4*(A89-A88+1)/360</f>
        <v>23333.333333333332</v>
      </c>
      <c r="O89" s="30"/>
      <c r="P89" s="43"/>
      <c r="Q89" s="44"/>
      <c r="R89" s="33"/>
      <c r="V89" s="45"/>
      <c r="W89" s="7"/>
      <c r="X89" s="7"/>
      <c r="Y89" s="46"/>
      <c r="Z89" s="7"/>
      <c r="AA89" s="7"/>
      <c r="AC89" s="7"/>
    </row>
    <row r="90" spans="1:29">
      <c r="A90" s="18">
        <v>44651</v>
      </c>
      <c r="B90" s="37">
        <f t="shared" si="0"/>
        <v>0</v>
      </c>
      <c r="C90" s="29"/>
      <c r="D90" s="29">
        <v>0</v>
      </c>
      <c r="E90" s="38"/>
      <c r="F90" s="39"/>
      <c r="G90" s="47"/>
      <c r="H90" s="24">
        <f t="shared" si="1"/>
        <v>1570833.3333333333</v>
      </c>
      <c r="I90" s="41">
        <f t="shared" si="74"/>
        <v>1560000</v>
      </c>
      <c r="J90" s="29">
        <f t="shared" si="75"/>
        <v>10833.333333333334</v>
      </c>
      <c r="K90" s="42"/>
      <c r="L90" s="33">
        <f t="shared" si="2"/>
        <v>0</v>
      </c>
      <c r="M90" s="196"/>
      <c r="N90" s="29">
        <f t="shared" si="21"/>
        <v>10833.333333333334</v>
      </c>
      <c r="O90" s="30"/>
      <c r="P90" s="43"/>
      <c r="Q90" s="44"/>
      <c r="R90" s="33"/>
      <c r="V90" s="45"/>
      <c r="W90" s="7"/>
      <c r="X90" s="7"/>
      <c r="Y90" s="46"/>
      <c r="Z90" s="7">
        <f t="shared" si="19"/>
        <v>0</v>
      </c>
      <c r="AA90" s="7"/>
      <c r="AC90" s="7"/>
    </row>
    <row r="91" spans="1:29">
      <c r="A91" s="18">
        <v>44671</v>
      </c>
      <c r="B91" s="37">
        <f t="shared" si="0"/>
        <v>-73583.333333333343</v>
      </c>
      <c r="C91" s="29">
        <v>-40000</v>
      </c>
      <c r="D91" s="29">
        <f t="shared" ref="D91" si="79">-I89*O$4*(A91-A89)/360</f>
        <v>-33583.333333333336</v>
      </c>
      <c r="E91" s="38"/>
      <c r="F91" s="39"/>
      <c r="G91" s="47"/>
      <c r="H91" s="24">
        <f t="shared" si="1"/>
        <v>1520000</v>
      </c>
      <c r="I91" s="41">
        <f t="shared" si="74"/>
        <v>1520000</v>
      </c>
      <c r="J91" s="29">
        <f t="shared" si="75"/>
        <v>0</v>
      </c>
      <c r="K91" s="42"/>
      <c r="L91" s="33">
        <f t="shared" si="2"/>
        <v>0</v>
      </c>
      <c r="M91" s="196"/>
      <c r="N91" s="29">
        <f t="shared" ref="N91" si="80">I90*O$4*(A91-A90+1)/360</f>
        <v>22750</v>
      </c>
      <c r="O91" s="30"/>
      <c r="P91" s="43"/>
      <c r="Q91" s="44"/>
      <c r="R91" s="33"/>
      <c r="V91" s="45"/>
      <c r="W91" s="7"/>
      <c r="X91" s="7"/>
      <c r="Y91" s="46"/>
      <c r="Z91" s="7"/>
      <c r="AA91" s="7"/>
      <c r="AC91" s="7"/>
    </row>
    <row r="92" spans="1:29">
      <c r="A92" s="18">
        <v>44681</v>
      </c>
      <c r="B92" s="37">
        <f t="shared" si="0"/>
        <v>0</v>
      </c>
      <c r="C92" s="29"/>
      <c r="D92" s="29">
        <v>0</v>
      </c>
      <c r="E92" s="38"/>
      <c r="F92" s="39"/>
      <c r="G92" s="47"/>
      <c r="H92" s="24">
        <f t="shared" si="1"/>
        <v>1529500</v>
      </c>
      <c r="I92" s="41">
        <f t="shared" si="74"/>
        <v>1520000</v>
      </c>
      <c r="J92" s="29">
        <f t="shared" si="75"/>
        <v>9500</v>
      </c>
      <c r="K92" s="42"/>
      <c r="L92" s="33">
        <f t="shared" si="2"/>
        <v>0</v>
      </c>
      <c r="M92" s="196"/>
      <c r="N92" s="29">
        <f t="shared" si="21"/>
        <v>9500</v>
      </c>
      <c r="O92" s="30"/>
      <c r="P92" s="43"/>
      <c r="Q92" s="44"/>
      <c r="R92" s="33"/>
      <c r="V92" s="45"/>
      <c r="W92" s="7"/>
      <c r="X92" s="7"/>
      <c r="Y92" s="46"/>
      <c r="Z92" s="7">
        <f t="shared" si="19"/>
        <v>0</v>
      </c>
      <c r="AA92" s="7"/>
      <c r="AC92" s="7"/>
    </row>
    <row r="93" spans="1:29">
      <c r="A93" s="18">
        <v>44701</v>
      </c>
      <c r="B93" s="37">
        <f t="shared" si="0"/>
        <v>-71666.666666666672</v>
      </c>
      <c r="C93" s="29">
        <v>-40000</v>
      </c>
      <c r="D93" s="29">
        <f t="shared" ref="D93" si="81">-I91*O$4*(A93-A91)/360</f>
        <v>-31666.666666666668</v>
      </c>
      <c r="E93" s="38"/>
      <c r="F93" s="39"/>
      <c r="G93" s="47"/>
      <c r="H93" s="24">
        <f t="shared" si="1"/>
        <v>1480000</v>
      </c>
      <c r="I93" s="41">
        <f t="shared" si="74"/>
        <v>1480000</v>
      </c>
      <c r="J93" s="29">
        <f t="shared" si="75"/>
        <v>0</v>
      </c>
      <c r="K93" s="42"/>
      <c r="L93" s="33">
        <f t="shared" si="2"/>
        <v>0</v>
      </c>
      <c r="M93" s="196"/>
      <c r="N93" s="29">
        <f t="shared" ref="N93" si="82">I92*O$4*(A93-A92+1)/360</f>
        <v>22166.666666666668</v>
      </c>
      <c r="O93" s="30"/>
      <c r="P93" s="43"/>
      <c r="Q93" s="44"/>
      <c r="R93" s="33"/>
      <c r="V93" s="45"/>
      <c r="W93" s="7"/>
      <c r="X93" s="7"/>
      <c r="Y93" s="46"/>
      <c r="Z93" s="7"/>
      <c r="AA93" s="7"/>
      <c r="AC93" s="7"/>
    </row>
    <row r="94" spans="1:29">
      <c r="A94" s="18">
        <v>44712</v>
      </c>
      <c r="B94" s="37">
        <f t="shared" si="0"/>
        <v>0</v>
      </c>
      <c r="C94" s="29"/>
      <c r="D94" s="29">
        <v>0</v>
      </c>
      <c r="E94" s="38"/>
      <c r="F94" s="39"/>
      <c r="G94" s="47"/>
      <c r="H94" s="24">
        <f t="shared" si="1"/>
        <v>1490277.7777777778</v>
      </c>
      <c r="I94" s="41">
        <f t="shared" si="74"/>
        <v>1480000</v>
      </c>
      <c r="J94" s="29">
        <f t="shared" si="75"/>
        <v>10277.777777777777</v>
      </c>
      <c r="K94" s="42"/>
      <c r="L94" s="33">
        <f t="shared" si="2"/>
        <v>0</v>
      </c>
      <c r="M94" s="196"/>
      <c r="N94" s="29">
        <f t="shared" si="21"/>
        <v>10277.777777777777</v>
      </c>
      <c r="O94" s="30"/>
      <c r="P94" s="43"/>
      <c r="Q94" s="44"/>
      <c r="R94" s="33"/>
      <c r="V94" s="45"/>
      <c r="W94" s="7"/>
      <c r="X94" s="7"/>
      <c r="Y94" s="46"/>
      <c r="Z94" s="7">
        <f t="shared" ref="Z94:Z156" si="83">M94+M93</f>
        <v>0</v>
      </c>
      <c r="AA94" s="7"/>
      <c r="AC94" s="7"/>
    </row>
    <row r="95" spans="1:29">
      <c r="A95" s="18">
        <v>44732</v>
      </c>
      <c r="B95" s="37">
        <f t="shared" si="0"/>
        <v>-71861.111111111109</v>
      </c>
      <c r="C95" s="29">
        <v>-40000</v>
      </c>
      <c r="D95" s="29">
        <f t="shared" ref="D95" si="84">-I93*O$4*(A95-A93)/360</f>
        <v>-31861.111111111109</v>
      </c>
      <c r="E95" s="38"/>
      <c r="F95" s="39"/>
      <c r="G95" s="47"/>
      <c r="H95" s="24">
        <f t="shared" si="1"/>
        <v>1440000</v>
      </c>
      <c r="I95" s="41">
        <f t="shared" si="74"/>
        <v>1440000</v>
      </c>
      <c r="J95" s="29">
        <f t="shared" si="75"/>
        <v>0</v>
      </c>
      <c r="K95" s="42"/>
      <c r="L95" s="33">
        <f t="shared" si="2"/>
        <v>0</v>
      </c>
      <c r="M95" s="196"/>
      <c r="N95" s="29">
        <f t="shared" ref="N95" si="85">I94*O$4*(A95-A94+1)/360</f>
        <v>21583.333333333332</v>
      </c>
      <c r="O95" s="30"/>
      <c r="P95" s="43"/>
      <c r="Q95" s="44"/>
      <c r="R95" s="33"/>
      <c r="V95" s="45"/>
      <c r="W95" s="7"/>
      <c r="X95" s="7"/>
      <c r="Y95" s="46"/>
      <c r="Z95" s="7"/>
      <c r="AA95" s="7"/>
      <c r="AC95" s="7"/>
    </row>
    <row r="96" spans="1:29">
      <c r="A96" s="18">
        <v>44742</v>
      </c>
      <c r="B96" s="37">
        <f t="shared" si="0"/>
        <v>0</v>
      </c>
      <c r="C96" s="29"/>
      <c r="D96" s="29">
        <v>0</v>
      </c>
      <c r="E96" s="38"/>
      <c r="F96" s="39"/>
      <c r="G96" s="47"/>
      <c r="H96" s="24">
        <f t="shared" si="1"/>
        <v>1449000</v>
      </c>
      <c r="I96" s="41">
        <f t="shared" si="74"/>
        <v>1440000</v>
      </c>
      <c r="J96" s="29">
        <f t="shared" si="75"/>
        <v>9000</v>
      </c>
      <c r="K96" s="42"/>
      <c r="L96" s="33">
        <f t="shared" si="2"/>
        <v>0</v>
      </c>
      <c r="M96" s="196"/>
      <c r="N96" s="29">
        <f t="shared" ref="N96:N158" si="86">I95*O$4*(A96-A95-1)/360</f>
        <v>9000</v>
      </c>
      <c r="O96" s="30"/>
      <c r="P96" s="43"/>
      <c r="Q96" s="44"/>
      <c r="R96" s="33"/>
      <c r="V96" s="45"/>
      <c r="W96" s="7"/>
      <c r="X96" s="7"/>
      <c r="Y96" s="46"/>
      <c r="Z96" s="7">
        <f t="shared" si="83"/>
        <v>0</v>
      </c>
      <c r="AA96" s="7"/>
      <c r="AC96" s="7"/>
    </row>
    <row r="97" spans="1:29">
      <c r="A97" s="18">
        <v>44762</v>
      </c>
      <c r="B97" s="37">
        <f t="shared" si="0"/>
        <v>-70000</v>
      </c>
      <c r="C97" s="29">
        <v>-40000</v>
      </c>
      <c r="D97" s="29">
        <f t="shared" ref="D97" si="87">-I95*O$4*(A97-A95)/360</f>
        <v>-30000</v>
      </c>
      <c r="E97" s="38"/>
      <c r="F97" s="39"/>
      <c r="G97" s="47"/>
      <c r="H97" s="24">
        <f t="shared" si="1"/>
        <v>1400000</v>
      </c>
      <c r="I97" s="41">
        <f t="shared" si="74"/>
        <v>1400000</v>
      </c>
      <c r="J97" s="29">
        <f t="shared" si="75"/>
        <v>0</v>
      </c>
      <c r="K97" s="42"/>
      <c r="L97" s="33">
        <f t="shared" si="2"/>
        <v>0</v>
      </c>
      <c r="M97" s="196"/>
      <c r="N97" s="29">
        <f t="shared" ref="N97" si="88">I96*O$4*(A97-A96+1)/360</f>
        <v>21000</v>
      </c>
      <c r="O97" s="30"/>
      <c r="P97" s="43"/>
      <c r="Q97" s="44"/>
      <c r="R97" s="33"/>
      <c r="V97" s="45"/>
      <c r="W97" s="7"/>
      <c r="X97" s="7"/>
      <c r="Y97" s="46"/>
      <c r="Z97" s="7"/>
      <c r="AA97" s="7"/>
      <c r="AC97" s="7"/>
    </row>
    <row r="98" spans="1:29">
      <c r="A98" s="18">
        <v>44773</v>
      </c>
      <c r="B98" s="37">
        <f t="shared" si="0"/>
        <v>0</v>
      </c>
      <c r="C98" s="29"/>
      <c r="D98" s="29">
        <v>0</v>
      </c>
      <c r="E98" s="38"/>
      <c r="F98" s="39"/>
      <c r="G98" s="47"/>
      <c r="H98" s="24">
        <f t="shared" si="1"/>
        <v>1409722.2222222222</v>
      </c>
      <c r="I98" s="41">
        <f t="shared" si="74"/>
        <v>1400000</v>
      </c>
      <c r="J98" s="29">
        <f t="shared" si="75"/>
        <v>9722.2222222222226</v>
      </c>
      <c r="K98" s="42"/>
      <c r="L98" s="33">
        <f t="shared" si="2"/>
        <v>0</v>
      </c>
      <c r="M98" s="196"/>
      <c r="N98" s="29">
        <f t="shared" si="86"/>
        <v>9722.2222222222226</v>
      </c>
      <c r="O98" s="30"/>
      <c r="P98" s="43"/>
      <c r="Q98" s="44"/>
      <c r="R98" s="33"/>
      <c r="V98" s="45"/>
      <c r="W98" s="7"/>
      <c r="X98" s="7"/>
      <c r="Y98" s="46"/>
      <c r="Z98" s="7">
        <f t="shared" si="83"/>
        <v>0</v>
      </c>
      <c r="AA98" s="7"/>
      <c r="AC98" s="7"/>
    </row>
    <row r="99" spans="1:29">
      <c r="A99" s="18">
        <v>44793</v>
      </c>
      <c r="B99" s="37">
        <f t="shared" si="0"/>
        <v>-70138.888888888891</v>
      </c>
      <c r="C99" s="29">
        <v>-40000</v>
      </c>
      <c r="D99" s="29">
        <f t="shared" ref="D99" si="89">-I97*O$4*(A99-A97)/360</f>
        <v>-30138.888888888891</v>
      </c>
      <c r="E99" s="38"/>
      <c r="F99" s="39"/>
      <c r="G99" s="47"/>
      <c r="H99" s="24">
        <f t="shared" si="1"/>
        <v>1360000</v>
      </c>
      <c r="I99" s="41">
        <f t="shared" si="74"/>
        <v>1360000</v>
      </c>
      <c r="J99" s="29">
        <f t="shared" si="75"/>
        <v>0</v>
      </c>
      <c r="K99" s="42"/>
      <c r="L99" s="33">
        <f t="shared" si="2"/>
        <v>0</v>
      </c>
      <c r="M99" s="196"/>
      <c r="N99" s="29">
        <f t="shared" ref="N99" si="90">I98*O$4*(A99-A98+1)/360</f>
        <v>20416.666666666668</v>
      </c>
      <c r="O99" s="30"/>
      <c r="P99" s="43"/>
      <c r="Q99" s="44"/>
      <c r="R99" s="33"/>
      <c r="V99" s="45"/>
      <c r="W99" s="7"/>
      <c r="X99" s="7"/>
      <c r="Y99" s="46"/>
      <c r="Z99" s="7"/>
      <c r="AA99" s="7"/>
      <c r="AC99" s="7"/>
    </row>
    <row r="100" spans="1:29">
      <c r="A100" s="18">
        <v>44804</v>
      </c>
      <c r="B100" s="37">
        <f t="shared" si="0"/>
        <v>0</v>
      </c>
      <c r="C100" s="29"/>
      <c r="D100" s="29">
        <v>0</v>
      </c>
      <c r="E100" s="38"/>
      <c r="F100" s="39"/>
      <c r="G100" s="47"/>
      <c r="H100" s="24">
        <f t="shared" si="1"/>
        <v>1369444.4444444445</v>
      </c>
      <c r="I100" s="41">
        <f t="shared" si="74"/>
        <v>1360000</v>
      </c>
      <c r="J100" s="29">
        <f t="shared" si="75"/>
        <v>9444.4444444444453</v>
      </c>
      <c r="K100" s="42"/>
      <c r="L100" s="33">
        <f t="shared" si="2"/>
        <v>0</v>
      </c>
      <c r="M100" s="196"/>
      <c r="N100" s="29">
        <f t="shared" si="86"/>
        <v>9444.4444444444453</v>
      </c>
      <c r="O100" s="30"/>
      <c r="P100" s="43"/>
      <c r="Q100" s="44"/>
      <c r="R100" s="33"/>
      <c r="V100" s="45"/>
      <c r="W100" s="7"/>
      <c r="X100" s="7"/>
      <c r="Y100" s="46"/>
      <c r="Z100" s="7">
        <f t="shared" si="83"/>
        <v>0</v>
      </c>
      <c r="AA100" s="7"/>
      <c r="AC100" s="7"/>
    </row>
    <row r="101" spans="1:29">
      <c r="A101" s="18">
        <v>44824</v>
      </c>
      <c r="B101" s="37">
        <f t="shared" si="0"/>
        <v>-69277.777777777781</v>
      </c>
      <c r="C101" s="29">
        <v>-40000</v>
      </c>
      <c r="D101" s="29">
        <f t="shared" ref="D101" si="91">-I99*O$4*(A101-A99)/360</f>
        <v>-29277.777777777777</v>
      </c>
      <c r="E101" s="38"/>
      <c r="F101" s="39"/>
      <c r="G101" s="47"/>
      <c r="H101" s="24">
        <f t="shared" si="1"/>
        <v>1320000</v>
      </c>
      <c r="I101" s="41">
        <f t="shared" si="74"/>
        <v>1320000</v>
      </c>
      <c r="J101" s="29">
        <f t="shared" si="75"/>
        <v>0</v>
      </c>
      <c r="K101" s="42"/>
      <c r="L101" s="33">
        <f t="shared" si="2"/>
        <v>0</v>
      </c>
      <c r="M101" s="196"/>
      <c r="N101" s="29">
        <f t="shared" ref="N101" si="92">I100*O$4*(A101-A100+1)/360</f>
        <v>19833.333333333332</v>
      </c>
      <c r="O101" s="30"/>
      <c r="P101" s="43"/>
      <c r="Q101" s="44"/>
      <c r="R101" s="33"/>
      <c r="V101" s="45"/>
      <c r="W101" s="7"/>
      <c r="X101" s="7"/>
      <c r="Y101" s="46"/>
      <c r="Z101" s="7"/>
      <c r="AA101" s="7"/>
      <c r="AC101" s="7"/>
    </row>
    <row r="102" spans="1:29">
      <c r="A102" s="18">
        <v>44834</v>
      </c>
      <c r="B102" s="37">
        <f t="shared" si="0"/>
        <v>0</v>
      </c>
      <c r="C102" s="29"/>
      <c r="D102" s="29">
        <v>0</v>
      </c>
      <c r="E102" s="38"/>
      <c r="F102" s="39"/>
      <c r="G102" s="47"/>
      <c r="H102" s="24">
        <f t="shared" si="1"/>
        <v>1328250</v>
      </c>
      <c r="I102" s="41">
        <f t="shared" si="74"/>
        <v>1320000</v>
      </c>
      <c r="J102" s="29">
        <f t="shared" si="75"/>
        <v>8250</v>
      </c>
      <c r="K102" s="42"/>
      <c r="L102" s="33">
        <f t="shared" si="2"/>
        <v>0</v>
      </c>
      <c r="M102" s="196"/>
      <c r="N102" s="29">
        <f t="shared" si="86"/>
        <v>8250</v>
      </c>
      <c r="O102" s="30"/>
      <c r="P102" s="43"/>
      <c r="Q102" s="44"/>
      <c r="R102" s="33"/>
      <c r="V102" s="45"/>
      <c r="W102" s="7"/>
      <c r="X102" s="7"/>
      <c r="Y102" s="46"/>
      <c r="Z102" s="7">
        <f t="shared" si="83"/>
        <v>0</v>
      </c>
      <c r="AA102" s="7"/>
      <c r="AC102" s="7"/>
    </row>
    <row r="103" spans="1:29">
      <c r="A103" s="18">
        <v>44854</v>
      </c>
      <c r="B103" s="37">
        <f t="shared" si="0"/>
        <v>-67500</v>
      </c>
      <c r="C103" s="29">
        <v>-40000</v>
      </c>
      <c r="D103" s="29">
        <f t="shared" ref="D103" si="93">-I101*O$4*(A103-A101)/360</f>
        <v>-27500</v>
      </c>
      <c r="E103" s="38"/>
      <c r="F103" s="39"/>
      <c r="G103" s="47"/>
      <c r="H103" s="24">
        <f t="shared" si="1"/>
        <v>1280000</v>
      </c>
      <c r="I103" s="41">
        <f t="shared" si="74"/>
        <v>1280000</v>
      </c>
      <c r="J103" s="29">
        <f t="shared" si="75"/>
        <v>0</v>
      </c>
      <c r="K103" s="42"/>
      <c r="L103" s="33">
        <f t="shared" si="2"/>
        <v>0</v>
      </c>
      <c r="M103" s="196"/>
      <c r="N103" s="29">
        <f t="shared" ref="N103" si="94">I102*O$4*(A103-A102+1)/360</f>
        <v>19250</v>
      </c>
      <c r="O103" s="30"/>
      <c r="P103" s="43"/>
      <c r="Q103" s="44"/>
      <c r="R103" s="33"/>
      <c r="V103" s="45"/>
      <c r="W103" s="7"/>
      <c r="X103" s="7"/>
      <c r="Y103" s="46"/>
      <c r="Z103" s="7"/>
      <c r="AA103" s="7"/>
      <c r="AC103" s="7"/>
    </row>
    <row r="104" spans="1:29">
      <c r="A104" s="18">
        <v>44865</v>
      </c>
      <c r="B104" s="37">
        <f t="shared" si="0"/>
        <v>0</v>
      </c>
      <c r="C104" s="29"/>
      <c r="D104" s="29">
        <v>0</v>
      </c>
      <c r="E104" s="38"/>
      <c r="F104" s="39"/>
      <c r="G104" s="47"/>
      <c r="H104" s="24">
        <f t="shared" si="1"/>
        <v>1288888.888888889</v>
      </c>
      <c r="I104" s="41">
        <f t="shared" si="74"/>
        <v>1280000</v>
      </c>
      <c r="J104" s="29">
        <f t="shared" si="75"/>
        <v>8888.8888888888887</v>
      </c>
      <c r="K104" s="42"/>
      <c r="L104" s="33">
        <f t="shared" si="2"/>
        <v>0</v>
      </c>
      <c r="M104" s="196"/>
      <c r="N104" s="29">
        <f t="shared" si="86"/>
        <v>8888.8888888888887</v>
      </c>
      <c r="O104" s="30"/>
      <c r="P104" s="43"/>
      <c r="Q104" s="44"/>
      <c r="R104" s="33"/>
      <c r="V104" s="45"/>
      <c r="W104" s="7"/>
      <c r="X104" s="7"/>
      <c r="Y104" s="46"/>
      <c r="Z104" s="7">
        <f t="shared" si="83"/>
        <v>0</v>
      </c>
      <c r="AA104" s="7"/>
      <c r="AC104" s="7"/>
    </row>
    <row r="105" spans="1:29">
      <c r="A105" s="18">
        <v>44885</v>
      </c>
      <c r="B105" s="37">
        <f t="shared" si="0"/>
        <v>-67555.555555555562</v>
      </c>
      <c r="C105" s="29">
        <v>-40000</v>
      </c>
      <c r="D105" s="29">
        <f t="shared" ref="D105" si="95">-I103*O$4*(A105-A103)/360</f>
        <v>-27555.555555555555</v>
      </c>
      <c r="E105" s="38"/>
      <c r="F105" s="39"/>
      <c r="G105" s="47"/>
      <c r="H105" s="24">
        <f t="shared" si="1"/>
        <v>1240000</v>
      </c>
      <c r="I105" s="41">
        <f t="shared" si="74"/>
        <v>1240000</v>
      </c>
      <c r="J105" s="29">
        <f t="shared" si="75"/>
        <v>0</v>
      </c>
      <c r="K105" s="42"/>
      <c r="L105" s="33">
        <f t="shared" si="2"/>
        <v>0</v>
      </c>
      <c r="M105" s="196"/>
      <c r="N105" s="29">
        <f t="shared" ref="N105" si="96">I104*O$4*(A105-A104+1)/360</f>
        <v>18666.666666666668</v>
      </c>
      <c r="O105" s="30"/>
      <c r="P105" s="43"/>
      <c r="Q105" s="44"/>
      <c r="R105" s="33"/>
      <c r="V105" s="45"/>
      <c r="W105" s="7"/>
      <c r="X105" s="7"/>
      <c r="Y105" s="46"/>
      <c r="Z105" s="7"/>
      <c r="AA105" s="7"/>
      <c r="AC105" s="7"/>
    </row>
    <row r="106" spans="1:29">
      <c r="A106" s="18">
        <v>44895</v>
      </c>
      <c r="B106" s="37">
        <f t="shared" si="0"/>
        <v>0</v>
      </c>
      <c r="C106" s="29"/>
      <c r="D106" s="29">
        <v>0</v>
      </c>
      <c r="E106" s="38"/>
      <c r="F106" s="39"/>
      <c r="G106" s="47"/>
      <c r="H106" s="24">
        <f t="shared" si="1"/>
        <v>1247750</v>
      </c>
      <c r="I106" s="41">
        <f t="shared" si="74"/>
        <v>1240000</v>
      </c>
      <c r="J106" s="29">
        <f t="shared" si="75"/>
        <v>7750</v>
      </c>
      <c r="K106" s="42"/>
      <c r="L106" s="33">
        <f t="shared" si="2"/>
        <v>0</v>
      </c>
      <c r="M106" s="196"/>
      <c r="N106" s="29">
        <f t="shared" si="86"/>
        <v>7750</v>
      </c>
      <c r="O106" s="30"/>
      <c r="P106" s="43"/>
      <c r="Q106" s="44"/>
      <c r="R106" s="33"/>
      <c r="V106" s="45"/>
      <c r="W106" s="7"/>
      <c r="X106" s="7"/>
      <c r="Y106" s="46"/>
      <c r="Z106" s="7">
        <f t="shared" si="83"/>
        <v>0</v>
      </c>
      <c r="AA106" s="7"/>
      <c r="AC106" s="7"/>
    </row>
    <row r="107" spans="1:29">
      <c r="A107" s="18">
        <v>44915</v>
      </c>
      <c r="B107" s="37">
        <f t="shared" si="0"/>
        <v>-65833.333333333328</v>
      </c>
      <c r="C107" s="29">
        <v>-40000</v>
      </c>
      <c r="D107" s="29">
        <f t="shared" ref="D107" si="97">-I105*O$4*(A107-A105)/360</f>
        <v>-25833.333333333332</v>
      </c>
      <c r="E107" s="38"/>
      <c r="F107" s="39"/>
      <c r="G107" s="47"/>
      <c r="H107" s="24">
        <f t="shared" si="1"/>
        <v>1200000</v>
      </c>
      <c r="I107" s="41">
        <f t="shared" si="74"/>
        <v>1200000</v>
      </c>
      <c r="J107" s="29">
        <f t="shared" si="75"/>
        <v>0</v>
      </c>
      <c r="K107" s="42"/>
      <c r="L107" s="33">
        <f t="shared" si="2"/>
        <v>0</v>
      </c>
      <c r="M107" s="196"/>
      <c r="N107" s="29">
        <f t="shared" ref="N107" si="98">I106*O$4*(A107-A106+1)/360</f>
        <v>18083.333333333332</v>
      </c>
      <c r="O107" s="30"/>
      <c r="P107" s="43"/>
      <c r="Q107" s="44"/>
      <c r="R107" s="33"/>
      <c r="V107" s="45"/>
      <c r="W107" s="7"/>
      <c r="X107" s="7"/>
      <c r="Y107" s="46"/>
      <c r="Z107" s="7"/>
      <c r="AA107" s="7"/>
      <c r="AC107" s="7"/>
    </row>
    <row r="108" spans="1:29">
      <c r="A108" s="18">
        <v>44926</v>
      </c>
      <c r="B108" s="37">
        <f t="shared" si="0"/>
        <v>0</v>
      </c>
      <c r="C108" s="29"/>
      <c r="D108" s="29">
        <v>0</v>
      </c>
      <c r="E108" s="38"/>
      <c r="F108" s="39"/>
      <c r="G108" s="47"/>
      <c r="H108" s="24">
        <f t="shared" si="1"/>
        <v>1208333.3333333333</v>
      </c>
      <c r="I108" s="41">
        <f t="shared" si="74"/>
        <v>1200000</v>
      </c>
      <c r="J108" s="29">
        <f t="shared" si="75"/>
        <v>8333.3333333333339</v>
      </c>
      <c r="K108" s="42"/>
      <c r="L108" s="33">
        <f t="shared" si="2"/>
        <v>0</v>
      </c>
      <c r="M108" s="196"/>
      <c r="N108" s="29">
        <f t="shared" si="86"/>
        <v>8333.3333333333339</v>
      </c>
      <c r="O108" s="30"/>
      <c r="P108" s="43"/>
      <c r="Q108" s="44"/>
      <c r="R108" s="33"/>
      <c r="V108" s="45"/>
      <c r="W108" s="7"/>
      <c r="X108" s="7"/>
      <c r="Y108" s="46"/>
      <c r="Z108" s="7">
        <f t="shared" si="83"/>
        <v>0</v>
      </c>
      <c r="AA108" s="7"/>
      <c r="AC108" s="7"/>
    </row>
    <row r="109" spans="1:29">
      <c r="A109" s="18">
        <v>44946</v>
      </c>
      <c r="B109" s="37">
        <f t="shared" si="0"/>
        <v>-65833.333333333328</v>
      </c>
      <c r="C109" s="29">
        <v>-40000</v>
      </c>
      <c r="D109" s="29">
        <f t="shared" ref="D109" si="99">-I107*O$4*(A109-A107)/360</f>
        <v>-25833.333333333332</v>
      </c>
      <c r="E109" s="38"/>
      <c r="F109" s="39"/>
      <c r="G109" s="47"/>
      <c r="H109" s="24">
        <f t="shared" si="1"/>
        <v>1160000</v>
      </c>
      <c r="I109" s="41">
        <f t="shared" si="74"/>
        <v>1160000</v>
      </c>
      <c r="J109" s="29">
        <f t="shared" si="75"/>
        <v>0</v>
      </c>
      <c r="K109" s="42"/>
      <c r="L109" s="33">
        <f t="shared" si="2"/>
        <v>0</v>
      </c>
      <c r="M109" s="196"/>
      <c r="N109" s="29">
        <f t="shared" ref="N109" si="100">I108*O$4*(A109-A108+1)/360</f>
        <v>17500</v>
      </c>
      <c r="O109" s="30"/>
      <c r="P109" s="43"/>
      <c r="Q109" s="44"/>
      <c r="R109" s="33"/>
      <c r="V109" s="45"/>
      <c r="W109" s="7"/>
      <c r="X109" s="7"/>
      <c r="Y109" s="46"/>
      <c r="Z109" s="7"/>
      <c r="AA109" s="7"/>
      <c r="AC109" s="7"/>
    </row>
    <row r="110" spans="1:29">
      <c r="A110" s="18">
        <v>44957</v>
      </c>
      <c r="B110" s="37">
        <f t="shared" si="0"/>
        <v>0</v>
      </c>
      <c r="C110" s="29"/>
      <c r="D110" s="29">
        <v>0</v>
      </c>
      <c r="E110" s="38"/>
      <c r="F110" s="39"/>
      <c r="G110" s="47"/>
      <c r="H110" s="24">
        <f t="shared" si="1"/>
        <v>1168055.5555555555</v>
      </c>
      <c r="I110" s="41">
        <f t="shared" si="74"/>
        <v>1160000</v>
      </c>
      <c r="J110" s="29">
        <f t="shared" si="75"/>
        <v>8055.5555555555557</v>
      </c>
      <c r="K110" s="42"/>
      <c r="L110" s="33">
        <f t="shared" si="2"/>
        <v>0</v>
      </c>
      <c r="M110" s="196"/>
      <c r="N110" s="29">
        <f t="shared" si="86"/>
        <v>8055.5555555555557</v>
      </c>
      <c r="O110" s="30"/>
      <c r="P110" s="43"/>
      <c r="Q110" s="44"/>
      <c r="R110" s="33"/>
      <c r="V110" s="45"/>
      <c r="W110" s="7"/>
      <c r="X110" s="7"/>
      <c r="Y110" s="46"/>
      <c r="Z110" s="7">
        <f t="shared" si="83"/>
        <v>0</v>
      </c>
      <c r="AA110" s="7"/>
      <c r="AC110" s="7"/>
    </row>
    <row r="111" spans="1:29">
      <c r="A111" s="18">
        <v>44977</v>
      </c>
      <c r="B111" s="37">
        <f t="shared" si="0"/>
        <v>-64972.222222222219</v>
      </c>
      <c r="C111" s="29">
        <v>-40000</v>
      </c>
      <c r="D111" s="29">
        <f t="shared" ref="D111" si="101">-I109*O$4*(A111-A109)/360</f>
        <v>-24972.222222222223</v>
      </c>
      <c r="E111" s="38"/>
      <c r="F111" s="39"/>
      <c r="G111" s="47"/>
      <c r="H111" s="24">
        <f t="shared" si="1"/>
        <v>1120000</v>
      </c>
      <c r="I111" s="41">
        <f t="shared" si="74"/>
        <v>1120000</v>
      </c>
      <c r="J111" s="29">
        <f t="shared" si="75"/>
        <v>0</v>
      </c>
      <c r="K111" s="42"/>
      <c r="L111" s="33">
        <f t="shared" si="2"/>
        <v>0</v>
      </c>
      <c r="M111" s="196"/>
      <c r="N111" s="29">
        <f t="shared" ref="N111" si="102">I110*O$4*(A111-A110+1)/360</f>
        <v>16916.666666666668</v>
      </c>
      <c r="O111" s="30"/>
      <c r="P111" s="43"/>
      <c r="Q111" s="44"/>
      <c r="R111" s="33"/>
      <c r="V111" s="45"/>
      <c r="W111" s="7"/>
      <c r="X111" s="7"/>
      <c r="Y111" s="46"/>
      <c r="Z111" s="7"/>
      <c r="AA111" s="7"/>
      <c r="AC111" s="7"/>
    </row>
    <row r="112" spans="1:29">
      <c r="A112" s="18">
        <v>44985</v>
      </c>
      <c r="B112" s="37">
        <f t="shared" si="0"/>
        <v>0</v>
      </c>
      <c r="C112" s="29"/>
      <c r="D112" s="29">
        <v>0</v>
      </c>
      <c r="E112" s="38"/>
      <c r="F112" s="39"/>
      <c r="G112" s="47"/>
      <c r="H112" s="24">
        <f t="shared" si="1"/>
        <v>1125444.4444444445</v>
      </c>
      <c r="I112" s="41">
        <f t="shared" si="74"/>
        <v>1120000</v>
      </c>
      <c r="J112" s="29">
        <f t="shared" si="75"/>
        <v>5444.4444444444443</v>
      </c>
      <c r="K112" s="42"/>
      <c r="L112" s="33">
        <f t="shared" si="2"/>
        <v>0</v>
      </c>
      <c r="M112" s="196"/>
      <c r="N112" s="29">
        <f t="shared" si="86"/>
        <v>5444.4444444444443</v>
      </c>
      <c r="O112" s="30"/>
      <c r="P112" s="43"/>
      <c r="Q112" s="44"/>
      <c r="R112" s="33"/>
      <c r="V112" s="45"/>
      <c r="W112" s="7"/>
      <c r="X112" s="7"/>
      <c r="Y112" s="46"/>
      <c r="Z112" s="7">
        <f t="shared" si="83"/>
        <v>0</v>
      </c>
      <c r="AA112" s="7"/>
      <c r="AC112" s="7"/>
    </row>
    <row r="113" spans="1:29">
      <c r="A113" s="18">
        <v>45005</v>
      </c>
      <c r="B113" s="37">
        <f t="shared" si="0"/>
        <v>-61777.777777777781</v>
      </c>
      <c r="C113" s="29">
        <v>-40000</v>
      </c>
      <c r="D113" s="29">
        <f t="shared" ref="D113" si="103">-I111*O$4*(A113-A111)/360</f>
        <v>-21777.777777777777</v>
      </c>
      <c r="E113" s="38"/>
      <c r="F113" s="39"/>
      <c r="G113" s="47"/>
      <c r="H113" s="24">
        <f t="shared" si="1"/>
        <v>1080000</v>
      </c>
      <c r="I113" s="41">
        <f t="shared" si="74"/>
        <v>1080000</v>
      </c>
      <c r="J113" s="29">
        <f t="shared" si="75"/>
        <v>0</v>
      </c>
      <c r="K113" s="42"/>
      <c r="L113" s="33">
        <f t="shared" si="2"/>
        <v>0</v>
      </c>
      <c r="M113" s="196"/>
      <c r="N113" s="29">
        <f t="shared" ref="N113" si="104">I112*O$4*(A113-A112+1)/360</f>
        <v>16333.333333333334</v>
      </c>
      <c r="O113" s="30"/>
      <c r="P113" s="43"/>
      <c r="Q113" s="44"/>
      <c r="R113" s="33"/>
      <c r="V113" s="45"/>
      <c r="W113" s="7"/>
      <c r="X113" s="7"/>
      <c r="Y113" s="46"/>
      <c r="Z113" s="7"/>
      <c r="AA113" s="7"/>
      <c r="AC113" s="7"/>
    </row>
    <row r="114" spans="1:29">
      <c r="A114" s="18">
        <v>45016</v>
      </c>
      <c r="B114" s="37">
        <f t="shared" si="0"/>
        <v>0</v>
      </c>
      <c r="C114" s="29"/>
      <c r="D114" s="29">
        <v>0</v>
      </c>
      <c r="E114" s="38"/>
      <c r="F114" s="39"/>
      <c r="G114" s="47"/>
      <c r="H114" s="24">
        <f t="shared" si="1"/>
        <v>1087500</v>
      </c>
      <c r="I114" s="41">
        <f t="shared" si="74"/>
        <v>1080000</v>
      </c>
      <c r="J114" s="29">
        <f t="shared" si="75"/>
        <v>7500</v>
      </c>
      <c r="K114" s="42"/>
      <c r="L114" s="33">
        <f t="shared" si="2"/>
        <v>0</v>
      </c>
      <c r="M114" s="196"/>
      <c r="N114" s="29">
        <f t="shared" si="86"/>
        <v>7500</v>
      </c>
      <c r="O114" s="30"/>
      <c r="P114" s="43"/>
      <c r="Q114" s="44"/>
      <c r="R114" s="33"/>
      <c r="V114" s="45"/>
      <c r="W114" s="7"/>
      <c r="X114" s="7"/>
      <c r="Y114" s="46"/>
      <c r="Z114" s="7">
        <f t="shared" si="83"/>
        <v>0</v>
      </c>
      <c r="AA114" s="7"/>
      <c r="AC114" s="7"/>
    </row>
    <row r="115" spans="1:29">
      <c r="A115" s="18">
        <v>45036</v>
      </c>
      <c r="B115" s="37">
        <f t="shared" si="0"/>
        <v>-63250</v>
      </c>
      <c r="C115" s="29">
        <v>-40000</v>
      </c>
      <c r="D115" s="29">
        <f t="shared" ref="D115" si="105">-I113*O$4*(A115-A113)/360</f>
        <v>-23250</v>
      </c>
      <c r="E115" s="38"/>
      <c r="F115" s="39"/>
      <c r="G115" s="47"/>
      <c r="H115" s="24">
        <f t="shared" si="1"/>
        <v>1040000</v>
      </c>
      <c r="I115" s="41">
        <f t="shared" si="74"/>
        <v>1040000</v>
      </c>
      <c r="J115" s="29">
        <f t="shared" si="75"/>
        <v>0</v>
      </c>
      <c r="K115" s="42"/>
      <c r="L115" s="33">
        <f t="shared" si="2"/>
        <v>0</v>
      </c>
      <c r="M115" s="196"/>
      <c r="N115" s="29">
        <f t="shared" ref="N115" si="106">I114*O$4*(A115-A114+1)/360</f>
        <v>15750</v>
      </c>
      <c r="O115" s="30"/>
      <c r="P115" s="43"/>
      <c r="Q115" s="44"/>
      <c r="R115" s="33"/>
      <c r="V115" s="45"/>
      <c r="W115" s="7"/>
      <c r="X115" s="7"/>
      <c r="Y115" s="46"/>
      <c r="Z115" s="7"/>
      <c r="AA115" s="7"/>
      <c r="AC115" s="7"/>
    </row>
    <row r="116" spans="1:29">
      <c r="A116" s="18">
        <v>45046</v>
      </c>
      <c r="B116" s="37">
        <f t="shared" si="0"/>
        <v>0</v>
      </c>
      <c r="C116" s="29"/>
      <c r="D116" s="29">
        <v>0</v>
      </c>
      <c r="E116" s="38"/>
      <c r="F116" s="39"/>
      <c r="G116" s="47"/>
      <c r="H116" s="24">
        <f t="shared" si="1"/>
        <v>1046500</v>
      </c>
      <c r="I116" s="41">
        <f t="shared" si="74"/>
        <v>1040000</v>
      </c>
      <c r="J116" s="29">
        <f t="shared" si="75"/>
        <v>6500</v>
      </c>
      <c r="K116" s="42"/>
      <c r="L116" s="33">
        <f t="shared" si="2"/>
        <v>0</v>
      </c>
      <c r="M116" s="196"/>
      <c r="N116" s="29">
        <f t="shared" si="86"/>
        <v>6500</v>
      </c>
      <c r="O116" s="30"/>
      <c r="P116" s="43"/>
      <c r="Q116" s="44"/>
      <c r="R116" s="33"/>
      <c r="V116" s="45"/>
      <c r="W116" s="7"/>
      <c r="X116" s="7"/>
      <c r="Y116" s="46"/>
      <c r="Z116" s="7">
        <f t="shared" si="83"/>
        <v>0</v>
      </c>
      <c r="AA116" s="7"/>
      <c r="AC116" s="7"/>
    </row>
    <row r="117" spans="1:29">
      <c r="A117" s="18">
        <v>45066</v>
      </c>
      <c r="B117" s="37">
        <f t="shared" si="0"/>
        <v>-61666.666666666672</v>
      </c>
      <c r="C117" s="29">
        <v>-40000</v>
      </c>
      <c r="D117" s="29">
        <f t="shared" ref="D117" si="107">-I115*O$4*(A117-A115)/360</f>
        <v>-21666.666666666668</v>
      </c>
      <c r="E117" s="38"/>
      <c r="F117" s="39"/>
      <c r="G117" s="47"/>
      <c r="H117" s="24">
        <f t="shared" si="1"/>
        <v>1000000</v>
      </c>
      <c r="I117" s="41">
        <f t="shared" si="74"/>
        <v>1000000</v>
      </c>
      <c r="J117" s="29">
        <f t="shared" si="75"/>
        <v>0</v>
      </c>
      <c r="K117" s="42"/>
      <c r="L117" s="33">
        <f t="shared" si="2"/>
        <v>0</v>
      </c>
      <c r="M117" s="196"/>
      <c r="N117" s="29">
        <f t="shared" ref="N117" si="108">I116*O$4*(A117-A116+1)/360</f>
        <v>15166.666666666666</v>
      </c>
      <c r="O117" s="30"/>
      <c r="P117" s="43"/>
      <c r="Q117" s="44"/>
      <c r="R117" s="33"/>
      <c r="V117" s="45"/>
      <c r="W117" s="7"/>
      <c r="X117" s="7"/>
      <c r="Y117" s="46"/>
      <c r="Z117" s="7"/>
      <c r="AA117" s="7"/>
      <c r="AC117" s="7"/>
    </row>
    <row r="118" spans="1:29">
      <c r="A118" s="18">
        <v>45077</v>
      </c>
      <c r="B118" s="37">
        <f t="shared" si="0"/>
        <v>0</v>
      </c>
      <c r="C118" s="29"/>
      <c r="D118" s="29">
        <v>0</v>
      </c>
      <c r="E118" s="38"/>
      <c r="F118" s="39"/>
      <c r="G118" s="47"/>
      <c r="H118" s="24">
        <f t="shared" si="1"/>
        <v>1006944.4444444445</v>
      </c>
      <c r="I118" s="41">
        <f t="shared" si="74"/>
        <v>1000000</v>
      </c>
      <c r="J118" s="29">
        <f t="shared" si="75"/>
        <v>6944.4444444444443</v>
      </c>
      <c r="K118" s="42"/>
      <c r="L118" s="33">
        <f t="shared" si="2"/>
        <v>0</v>
      </c>
      <c r="M118" s="196"/>
      <c r="N118" s="29">
        <f t="shared" si="86"/>
        <v>6944.4444444444443</v>
      </c>
      <c r="O118" s="30"/>
      <c r="P118" s="43"/>
      <c r="Q118" s="44"/>
      <c r="R118" s="33"/>
      <c r="V118" s="45"/>
      <c r="W118" s="7"/>
      <c r="X118" s="7"/>
      <c r="Y118" s="46"/>
      <c r="Z118" s="7">
        <f t="shared" si="83"/>
        <v>0</v>
      </c>
      <c r="AA118" s="7"/>
      <c r="AC118" s="7"/>
    </row>
    <row r="119" spans="1:29">
      <c r="A119" s="18">
        <v>45097</v>
      </c>
      <c r="B119" s="37">
        <f t="shared" si="0"/>
        <v>-61527.777777777781</v>
      </c>
      <c r="C119" s="29">
        <v>-40000</v>
      </c>
      <c r="D119" s="29">
        <f t="shared" ref="D119" si="109">-I117*O$4*(A119-A117)/360</f>
        <v>-21527.777777777777</v>
      </c>
      <c r="E119" s="38"/>
      <c r="F119" s="39"/>
      <c r="G119" s="47"/>
      <c r="H119" s="24">
        <f t="shared" si="1"/>
        <v>960000</v>
      </c>
      <c r="I119" s="41">
        <f t="shared" si="74"/>
        <v>960000</v>
      </c>
      <c r="J119" s="29">
        <f t="shared" si="75"/>
        <v>0</v>
      </c>
      <c r="K119" s="42"/>
      <c r="L119" s="33">
        <f t="shared" si="2"/>
        <v>0</v>
      </c>
      <c r="M119" s="196"/>
      <c r="N119" s="29">
        <f t="shared" ref="N119" si="110">I118*O$4*(A119-A118+1)/360</f>
        <v>14583.333333333334</v>
      </c>
      <c r="O119" s="30"/>
      <c r="P119" s="43"/>
      <c r="Q119" s="44"/>
      <c r="R119" s="33"/>
      <c r="V119" s="45"/>
      <c r="W119" s="7"/>
      <c r="X119" s="7"/>
      <c r="Y119" s="46"/>
      <c r="Z119" s="7"/>
      <c r="AA119" s="7"/>
      <c r="AC119" s="7"/>
    </row>
    <row r="120" spans="1:29">
      <c r="A120" s="18">
        <v>45107</v>
      </c>
      <c r="B120" s="37">
        <f t="shared" si="0"/>
        <v>0</v>
      </c>
      <c r="C120" s="29"/>
      <c r="D120" s="29">
        <v>0</v>
      </c>
      <c r="E120" s="38"/>
      <c r="F120" s="39"/>
      <c r="G120" s="47"/>
      <c r="H120" s="24">
        <f t="shared" si="1"/>
        <v>966000</v>
      </c>
      <c r="I120" s="41">
        <f t="shared" si="74"/>
        <v>960000</v>
      </c>
      <c r="J120" s="29">
        <f t="shared" si="75"/>
        <v>6000</v>
      </c>
      <c r="K120" s="42"/>
      <c r="L120" s="33">
        <f t="shared" si="2"/>
        <v>0</v>
      </c>
      <c r="M120" s="196"/>
      <c r="N120" s="29">
        <f t="shared" si="86"/>
        <v>6000</v>
      </c>
      <c r="O120" s="30"/>
      <c r="P120" s="43"/>
      <c r="Q120" s="44"/>
      <c r="R120" s="33"/>
      <c r="V120" s="45"/>
      <c r="W120" s="7"/>
      <c r="X120" s="7"/>
      <c r="Y120" s="46"/>
      <c r="Z120" s="7">
        <f t="shared" si="83"/>
        <v>0</v>
      </c>
      <c r="AA120" s="7"/>
      <c r="AC120" s="7"/>
    </row>
    <row r="121" spans="1:29">
      <c r="A121" s="18">
        <v>45127</v>
      </c>
      <c r="B121" s="37">
        <f t="shared" si="0"/>
        <v>-60000</v>
      </c>
      <c r="C121" s="29">
        <v>-40000</v>
      </c>
      <c r="D121" s="29">
        <f t="shared" ref="D121" si="111">-I119*O$4*(A121-A119)/360</f>
        <v>-20000</v>
      </c>
      <c r="E121" s="38"/>
      <c r="F121" s="39"/>
      <c r="G121" s="47"/>
      <c r="H121" s="24">
        <f t="shared" si="1"/>
        <v>920000</v>
      </c>
      <c r="I121" s="41">
        <f t="shared" si="74"/>
        <v>920000</v>
      </c>
      <c r="J121" s="29">
        <f t="shared" si="75"/>
        <v>0</v>
      </c>
      <c r="K121" s="42"/>
      <c r="L121" s="33">
        <f t="shared" si="2"/>
        <v>0</v>
      </c>
      <c r="M121" s="196"/>
      <c r="N121" s="29">
        <f t="shared" ref="N121" si="112">I120*O$4*(A121-A120+1)/360</f>
        <v>14000</v>
      </c>
      <c r="O121" s="30"/>
      <c r="P121" s="43"/>
      <c r="Q121" s="44"/>
      <c r="R121" s="33"/>
      <c r="V121" s="45"/>
      <c r="W121" s="7"/>
      <c r="X121" s="7"/>
      <c r="Y121" s="46"/>
      <c r="Z121" s="7"/>
      <c r="AA121" s="7"/>
      <c r="AC121" s="7"/>
    </row>
    <row r="122" spans="1:29">
      <c r="A122" s="18">
        <v>45138</v>
      </c>
      <c r="B122" s="37">
        <f t="shared" si="0"/>
        <v>0</v>
      </c>
      <c r="C122" s="29"/>
      <c r="D122" s="29">
        <v>0</v>
      </c>
      <c r="E122" s="38"/>
      <c r="F122" s="39"/>
      <c r="G122" s="47"/>
      <c r="H122" s="24">
        <f t="shared" si="1"/>
        <v>926388.88888888888</v>
      </c>
      <c r="I122" s="41">
        <f t="shared" si="74"/>
        <v>920000</v>
      </c>
      <c r="J122" s="29">
        <f t="shared" si="75"/>
        <v>6388.8888888888887</v>
      </c>
      <c r="K122" s="42"/>
      <c r="L122" s="33">
        <f t="shared" si="2"/>
        <v>0</v>
      </c>
      <c r="M122" s="196"/>
      <c r="N122" s="29">
        <f t="shared" si="86"/>
        <v>6388.8888888888887</v>
      </c>
      <c r="O122" s="30"/>
      <c r="P122" s="43"/>
      <c r="Q122" s="44"/>
      <c r="R122" s="33"/>
      <c r="V122" s="45"/>
      <c r="W122" s="7"/>
      <c r="X122" s="7"/>
      <c r="Y122" s="46"/>
      <c r="Z122" s="7">
        <f t="shared" si="83"/>
        <v>0</v>
      </c>
      <c r="AA122" s="7"/>
      <c r="AC122" s="7"/>
    </row>
    <row r="123" spans="1:29">
      <c r="A123" s="18">
        <v>45158</v>
      </c>
      <c r="B123" s="37">
        <f t="shared" si="0"/>
        <v>-59805.555555555555</v>
      </c>
      <c r="C123" s="29">
        <v>-40000</v>
      </c>
      <c r="D123" s="29">
        <f t="shared" ref="D123" si="113">-I121*O$4*(A123-A121)/360</f>
        <v>-19805.555555555555</v>
      </c>
      <c r="E123" s="38"/>
      <c r="F123" s="39"/>
      <c r="G123" s="47"/>
      <c r="H123" s="24">
        <f t="shared" si="1"/>
        <v>880000</v>
      </c>
      <c r="I123" s="41">
        <f t="shared" si="74"/>
        <v>880000</v>
      </c>
      <c r="J123" s="29">
        <f t="shared" si="75"/>
        <v>0</v>
      </c>
      <c r="K123" s="42"/>
      <c r="L123" s="33">
        <f t="shared" si="2"/>
        <v>0</v>
      </c>
      <c r="M123" s="196"/>
      <c r="N123" s="29">
        <f t="shared" ref="N123" si="114">I122*O$4*(A123-A122+1)/360</f>
        <v>13416.666666666666</v>
      </c>
      <c r="O123" s="30"/>
      <c r="P123" s="43"/>
      <c r="Q123" s="44"/>
      <c r="R123" s="33"/>
      <c r="V123" s="45"/>
      <c r="W123" s="7"/>
      <c r="X123" s="7"/>
      <c r="Y123" s="46"/>
      <c r="Z123" s="7"/>
      <c r="AA123" s="7"/>
      <c r="AC123" s="7"/>
    </row>
    <row r="124" spans="1:29">
      <c r="A124" s="18">
        <v>45169</v>
      </c>
      <c r="B124" s="37">
        <f t="shared" si="0"/>
        <v>0</v>
      </c>
      <c r="C124" s="29"/>
      <c r="D124" s="29">
        <v>0</v>
      </c>
      <c r="E124" s="38"/>
      <c r="F124" s="39"/>
      <c r="G124" s="47"/>
      <c r="H124" s="24">
        <f t="shared" si="1"/>
        <v>886111.11111111112</v>
      </c>
      <c r="I124" s="41">
        <f t="shared" si="74"/>
        <v>880000</v>
      </c>
      <c r="J124" s="29">
        <f t="shared" si="75"/>
        <v>6111.1111111111113</v>
      </c>
      <c r="K124" s="42"/>
      <c r="L124" s="33">
        <f t="shared" si="2"/>
        <v>0</v>
      </c>
      <c r="M124" s="196"/>
      <c r="N124" s="29">
        <f t="shared" si="86"/>
        <v>6111.1111111111113</v>
      </c>
      <c r="O124" s="30"/>
      <c r="P124" s="43"/>
      <c r="Q124" s="44"/>
      <c r="R124" s="33"/>
      <c r="V124" s="45"/>
      <c r="W124" s="7"/>
      <c r="X124" s="7"/>
      <c r="Y124" s="46"/>
      <c r="Z124" s="7">
        <f t="shared" si="83"/>
        <v>0</v>
      </c>
      <c r="AA124" s="7"/>
      <c r="AC124" s="7"/>
    </row>
    <row r="125" spans="1:29">
      <c r="A125" s="18">
        <v>45189</v>
      </c>
      <c r="B125" s="37">
        <f t="shared" si="0"/>
        <v>-58944.444444444445</v>
      </c>
      <c r="C125" s="29">
        <v>-40000</v>
      </c>
      <c r="D125" s="29">
        <f t="shared" ref="D125" si="115">-I123*O$4*(A125-A123)/360</f>
        <v>-18944.444444444445</v>
      </c>
      <c r="E125" s="38"/>
      <c r="F125" s="39"/>
      <c r="G125" s="47"/>
      <c r="H125" s="24">
        <f t="shared" si="1"/>
        <v>840000</v>
      </c>
      <c r="I125" s="41">
        <f t="shared" si="74"/>
        <v>840000</v>
      </c>
      <c r="J125" s="29">
        <f t="shared" si="75"/>
        <v>0</v>
      </c>
      <c r="K125" s="42"/>
      <c r="L125" s="33">
        <f t="shared" si="2"/>
        <v>0</v>
      </c>
      <c r="M125" s="196"/>
      <c r="N125" s="29">
        <f t="shared" ref="N125" si="116">I124*O$4*(A125-A124+1)/360</f>
        <v>12833.333333333334</v>
      </c>
      <c r="O125" s="30"/>
      <c r="P125" s="43"/>
      <c r="Q125" s="44"/>
      <c r="R125" s="33"/>
      <c r="V125" s="45"/>
      <c r="W125" s="7"/>
      <c r="X125" s="7"/>
      <c r="Y125" s="46"/>
      <c r="Z125" s="7"/>
      <c r="AA125" s="7"/>
      <c r="AC125" s="7"/>
    </row>
    <row r="126" spans="1:29">
      <c r="A126" s="18">
        <v>45199</v>
      </c>
      <c r="B126" s="37">
        <f t="shared" si="0"/>
        <v>0</v>
      </c>
      <c r="C126" s="29"/>
      <c r="D126" s="29">
        <v>0</v>
      </c>
      <c r="E126" s="38"/>
      <c r="F126" s="39"/>
      <c r="G126" s="47"/>
      <c r="H126" s="24">
        <f t="shared" si="1"/>
        <v>845250</v>
      </c>
      <c r="I126" s="41">
        <f t="shared" si="74"/>
        <v>840000</v>
      </c>
      <c r="J126" s="29">
        <f t="shared" si="75"/>
        <v>5250</v>
      </c>
      <c r="K126" s="42"/>
      <c r="L126" s="33">
        <f t="shared" si="2"/>
        <v>0</v>
      </c>
      <c r="M126" s="196"/>
      <c r="N126" s="29">
        <f t="shared" si="86"/>
        <v>5250</v>
      </c>
      <c r="O126" s="30"/>
      <c r="P126" s="43"/>
      <c r="Q126" s="44"/>
      <c r="R126" s="33"/>
      <c r="V126" s="45"/>
      <c r="W126" s="7"/>
      <c r="X126" s="7"/>
      <c r="Y126" s="46"/>
      <c r="Z126" s="7">
        <f t="shared" si="83"/>
        <v>0</v>
      </c>
      <c r="AA126" s="7"/>
      <c r="AC126" s="7"/>
    </row>
    <row r="127" spans="1:29">
      <c r="A127" s="18">
        <v>45219</v>
      </c>
      <c r="B127" s="37">
        <f t="shared" si="0"/>
        <v>-57500</v>
      </c>
      <c r="C127" s="29">
        <v>-40000</v>
      </c>
      <c r="D127" s="29">
        <f t="shared" ref="D127" si="117">-I125*O$4*(A127-A125)/360</f>
        <v>-17500</v>
      </c>
      <c r="E127" s="38"/>
      <c r="F127" s="39"/>
      <c r="G127" s="47"/>
      <c r="H127" s="24">
        <f t="shared" si="1"/>
        <v>800000</v>
      </c>
      <c r="I127" s="41">
        <f t="shared" si="74"/>
        <v>800000</v>
      </c>
      <c r="J127" s="29">
        <f t="shared" si="75"/>
        <v>0</v>
      </c>
      <c r="K127" s="42"/>
      <c r="L127" s="33">
        <f t="shared" si="2"/>
        <v>0</v>
      </c>
      <c r="M127" s="196"/>
      <c r="N127" s="29">
        <f t="shared" ref="N127" si="118">I126*O$4*(A127-A126+1)/360</f>
        <v>12250</v>
      </c>
      <c r="O127" s="30"/>
      <c r="P127" s="43"/>
      <c r="Q127" s="44"/>
      <c r="R127" s="33"/>
      <c r="V127" s="45"/>
      <c r="W127" s="7"/>
      <c r="X127" s="7"/>
      <c r="Y127" s="46"/>
      <c r="Z127" s="7"/>
      <c r="AA127" s="7"/>
      <c r="AC127" s="7"/>
    </row>
    <row r="128" spans="1:29">
      <c r="A128" s="18">
        <v>45230</v>
      </c>
      <c r="B128" s="37">
        <f t="shared" si="0"/>
        <v>0</v>
      </c>
      <c r="C128" s="29"/>
      <c r="D128" s="29">
        <v>0</v>
      </c>
      <c r="E128" s="38"/>
      <c r="F128" s="39"/>
      <c r="G128" s="47"/>
      <c r="H128" s="24">
        <f t="shared" si="1"/>
        <v>805555.5555555555</v>
      </c>
      <c r="I128" s="41">
        <f t="shared" si="74"/>
        <v>800000</v>
      </c>
      <c r="J128" s="29">
        <f t="shared" si="75"/>
        <v>5555.5555555555557</v>
      </c>
      <c r="K128" s="42"/>
      <c r="L128" s="33">
        <f t="shared" si="2"/>
        <v>0</v>
      </c>
      <c r="M128" s="196"/>
      <c r="N128" s="29">
        <f t="shared" si="86"/>
        <v>5555.5555555555557</v>
      </c>
      <c r="O128" s="30"/>
      <c r="P128" s="43"/>
      <c r="Q128" s="44"/>
      <c r="R128" s="33"/>
      <c r="V128" s="45"/>
      <c r="W128" s="7"/>
      <c r="X128" s="7"/>
      <c r="Y128" s="46"/>
      <c r="Z128" s="7">
        <f t="shared" si="83"/>
        <v>0</v>
      </c>
      <c r="AA128" s="7"/>
      <c r="AC128" s="7"/>
    </row>
    <row r="129" spans="1:29">
      <c r="A129" s="18">
        <v>45250</v>
      </c>
      <c r="B129" s="37">
        <f t="shared" si="0"/>
        <v>-57222.222222222219</v>
      </c>
      <c r="C129" s="29">
        <v>-40000</v>
      </c>
      <c r="D129" s="29">
        <f t="shared" ref="D129" si="119">-I127*O$4*(A129-A127)/360</f>
        <v>-17222.222222222223</v>
      </c>
      <c r="E129" s="38"/>
      <c r="F129" s="39"/>
      <c r="G129" s="47"/>
      <c r="H129" s="24">
        <f t="shared" si="1"/>
        <v>760000</v>
      </c>
      <c r="I129" s="41">
        <f t="shared" si="74"/>
        <v>760000</v>
      </c>
      <c r="J129" s="29">
        <f t="shared" si="75"/>
        <v>0</v>
      </c>
      <c r="K129" s="42"/>
      <c r="L129" s="33">
        <f t="shared" si="2"/>
        <v>0</v>
      </c>
      <c r="M129" s="196"/>
      <c r="N129" s="29">
        <f t="shared" ref="N129" si="120">I128*O$4*(A129-A128+1)/360</f>
        <v>11666.666666666666</v>
      </c>
      <c r="O129" s="30"/>
      <c r="P129" s="43"/>
      <c r="Q129" s="44"/>
      <c r="R129" s="33"/>
      <c r="V129" s="45"/>
      <c r="W129" s="7"/>
      <c r="X129" s="7"/>
      <c r="Y129" s="46"/>
      <c r="Z129" s="7"/>
      <c r="AA129" s="7"/>
      <c r="AC129" s="7"/>
    </row>
    <row r="130" spans="1:29">
      <c r="A130" s="18">
        <v>45260</v>
      </c>
      <c r="B130" s="37">
        <f t="shared" si="0"/>
        <v>0</v>
      </c>
      <c r="C130" s="29"/>
      <c r="D130" s="29">
        <v>0</v>
      </c>
      <c r="E130" s="38"/>
      <c r="F130" s="39"/>
      <c r="G130" s="47"/>
      <c r="H130" s="24">
        <f t="shared" si="1"/>
        <v>764750</v>
      </c>
      <c r="I130" s="41">
        <f t="shared" si="74"/>
        <v>760000</v>
      </c>
      <c r="J130" s="29">
        <f t="shared" si="75"/>
        <v>4750</v>
      </c>
      <c r="K130" s="42"/>
      <c r="L130" s="33">
        <f t="shared" si="2"/>
        <v>0</v>
      </c>
      <c r="M130" s="196"/>
      <c r="N130" s="29">
        <f t="shared" si="86"/>
        <v>4750</v>
      </c>
      <c r="O130" s="30"/>
      <c r="P130" s="43"/>
      <c r="Q130" s="44"/>
      <c r="R130" s="33"/>
      <c r="V130" s="45"/>
      <c r="W130" s="7"/>
      <c r="X130" s="7"/>
      <c r="Y130" s="46"/>
      <c r="Z130" s="7">
        <f t="shared" si="83"/>
        <v>0</v>
      </c>
      <c r="AA130" s="7"/>
      <c r="AC130" s="7"/>
    </row>
    <row r="131" spans="1:29">
      <c r="A131" s="18">
        <v>45280</v>
      </c>
      <c r="B131" s="37">
        <f t="shared" si="0"/>
        <v>-55833.333333333336</v>
      </c>
      <c r="C131" s="29">
        <v>-40000</v>
      </c>
      <c r="D131" s="29">
        <f t="shared" ref="D131" si="121">-I129*O$4*(A131-A129)/360</f>
        <v>-15833.333333333334</v>
      </c>
      <c r="E131" s="38"/>
      <c r="F131" s="39"/>
      <c r="G131" s="47"/>
      <c r="H131" s="24">
        <f t="shared" si="1"/>
        <v>720000</v>
      </c>
      <c r="I131" s="41">
        <f t="shared" si="74"/>
        <v>720000</v>
      </c>
      <c r="J131" s="29">
        <f t="shared" si="75"/>
        <v>0</v>
      </c>
      <c r="K131" s="42"/>
      <c r="L131" s="33">
        <f t="shared" si="2"/>
        <v>0</v>
      </c>
      <c r="M131" s="196"/>
      <c r="N131" s="29">
        <f t="shared" ref="N131" si="122">I130*O$4*(A131-A130+1)/360</f>
        <v>11083.333333333334</v>
      </c>
      <c r="O131" s="30"/>
      <c r="P131" s="43"/>
      <c r="Q131" s="44"/>
      <c r="R131" s="33"/>
      <c r="V131" s="45"/>
      <c r="W131" s="7"/>
      <c r="X131" s="7"/>
      <c r="Y131" s="46"/>
      <c r="Z131" s="7"/>
      <c r="AA131" s="7"/>
      <c r="AC131" s="7"/>
    </row>
    <row r="132" spans="1:29">
      <c r="A132" s="18">
        <v>45291</v>
      </c>
      <c r="B132" s="37">
        <f t="shared" si="0"/>
        <v>0</v>
      </c>
      <c r="C132" s="29"/>
      <c r="D132" s="29">
        <v>0</v>
      </c>
      <c r="E132" s="38"/>
      <c r="F132" s="39"/>
      <c r="G132" s="47"/>
      <c r="H132" s="24">
        <f t="shared" si="1"/>
        <v>725000</v>
      </c>
      <c r="I132" s="41">
        <f t="shared" si="74"/>
        <v>720000</v>
      </c>
      <c r="J132" s="29">
        <f t="shared" si="75"/>
        <v>5000</v>
      </c>
      <c r="K132" s="42"/>
      <c r="L132" s="33">
        <f t="shared" si="2"/>
        <v>0</v>
      </c>
      <c r="M132" s="196"/>
      <c r="N132" s="29">
        <f t="shared" si="86"/>
        <v>5000</v>
      </c>
      <c r="O132" s="30"/>
      <c r="P132" s="43"/>
      <c r="Q132" s="44"/>
      <c r="R132" s="33"/>
      <c r="V132" s="45"/>
      <c r="W132" s="7"/>
      <c r="X132" s="7"/>
      <c r="Y132" s="46"/>
      <c r="Z132" s="7">
        <f t="shared" si="83"/>
        <v>0</v>
      </c>
      <c r="AA132" s="7"/>
      <c r="AC132" s="7"/>
    </row>
    <row r="133" spans="1:29">
      <c r="A133" s="18">
        <v>45311</v>
      </c>
      <c r="B133" s="37">
        <f t="shared" si="0"/>
        <v>-55500</v>
      </c>
      <c r="C133" s="29">
        <v>-40000</v>
      </c>
      <c r="D133" s="29">
        <f t="shared" ref="D133" si="123">-I131*O$4*(A133-A131)/360</f>
        <v>-15500</v>
      </c>
      <c r="E133" s="38"/>
      <c r="F133" s="39"/>
      <c r="G133" s="47"/>
      <c r="H133" s="24">
        <f t="shared" si="1"/>
        <v>680000</v>
      </c>
      <c r="I133" s="41">
        <f t="shared" si="74"/>
        <v>680000</v>
      </c>
      <c r="J133" s="29">
        <f t="shared" si="75"/>
        <v>0</v>
      </c>
      <c r="K133" s="42"/>
      <c r="L133" s="33">
        <f t="shared" si="2"/>
        <v>0</v>
      </c>
      <c r="M133" s="196"/>
      <c r="N133" s="29">
        <f t="shared" ref="N133" si="124">I132*O$4*(A133-A132+1)/360</f>
        <v>10500</v>
      </c>
      <c r="O133" s="30"/>
      <c r="P133" s="43"/>
      <c r="Q133" s="44"/>
      <c r="R133" s="33"/>
      <c r="V133" s="45"/>
      <c r="W133" s="7"/>
      <c r="X133" s="7"/>
      <c r="Y133" s="46"/>
      <c r="Z133" s="7"/>
      <c r="AA133" s="7"/>
      <c r="AC133" s="7"/>
    </row>
    <row r="134" spans="1:29">
      <c r="A134" s="18">
        <v>45322</v>
      </c>
      <c r="B134" s="37">
        <f t="shared" si="0"/>
        <v>0</v>
      </c>
      <c r="C134" s="29"/>
      <c r="D134" s="29">
        <v>0</v>
      </c>
      <c r="E134" s="38"/>
      <c r="F134" s="39"/>
      <c r="G134" s="47"/>
      <c r="H134" s="24">
        <f t="shared" si="1"/>
        <v>684722.22222222225</v>
      </c>
      <c r="I134" s="41">
        <f t="shared" si="74"/>
        <v>680000</v>
      </c>
      <c r="J134" s="29">
        <f t="shared" si="75"/>
        <v>4722.2222222222226</v>
      </c>
      <c r="K134" s="42"/>
      <c r="L134" s="33">
        <f t="shared" si="2"/>
        <v>0</v>
      </c>
      <c r="M134" s="196"/>
      <c r="N134" s="29">
        <f t="shared" si="86"/>
        <v>4722.2222222222226</v>
      </c>
      <c r="O134" s="30"/>
      <c r="P134" s="43"/>
      <c r="Q134" s="44"/>
      <c r="R134" s="33"/>
      <c r="V134" s="45"/>
      <c r="W134" s="7"/>
      <c r="X134" s="7"/>
      <c r="Y134" s="46"/>
      <c r="Z134" s="7">
        <f t="shared" si="83"/>
        <v>0</v>
      </c>
      <c r="AA134" s="7"/>
      <c r="AC134" s="7"/>
    </row>
    <row r="135" spans="1:29">
      <c r="A135" s="18">
        <v>45342</v>
      </c>
      <c r="B135" s="37">
        <f t="shared" si="0"/>
        <v>-54638.888888888891</v>
      </c>
      <c r="C135" s="29">
        <v>-40000</v>
      </c>
      <c r="D135" s="29">
        <f t="shared" ref="D135" si="125">-I133*O$4*(A135-A133)/360</f>
        <v>-14638.888888888889</v>
      </c>
      <c r="E135" s="38"/>
      <c r="F135" s="39"/>
      <c r="G135" s="47"/>
      <c r="H135" s="24">
        <f t="shared" si="1"/>
        <v>640000</v>
      </c>
      <c r="I135" s="41">
        <f t="shared" si="74"/>
        <v>640000</v>
      </c>
      <c r="J135" s="29">
        <f t="shared" si="75"/>
        <v>0</v>
      </c>
      <c r="K135" s="42"/>
      <c r="L135" s="33">
        <f t="shared" si="2"/>
        <v>0</v>
      </c>
      <c r="M135" s="196"/>
      <c r="N135" s="29">
        <f t="shared" ref="N135" si="126">I134*O$4*(A135-A134+1)/360</f>
        <v>9916.6666666666661</v>
      </c>
      <c r="O135" s="30"/>
      <c r="P135" s="43"/>
      <c r="Q135" s="44"/>
      <c r="R135" s="33"/>
      <c r="V135" s="45"/>
      <c r="W135" s="7"/>
      <c r="X135" s="7"/>
      <c r="Y135" s="46"/>
      <c r="Z135" s="7"/>
      <c r="AA135" s="7"/>
      <c r="AC135" s="7"/>
    </row>
    <row r="136" spans="1:29">
      <c r="A136" s="18">
        <v>45351</v>
      </c>
      <c r="B136" s="37">
        <f t="shared" si="0"/>
        <v>0</v>
      </c>
      <c r="C136" s="29"/>
      <c r="D136" s="29">
        <v>0</v>
      </c>
      <c r="E136" s="38"/>
      <c r="F136" s="39"/>
      <c r="G136" s="47"/>
      <c r="H136" s="24">
        <f t="shared" si="1"/>
        <v>643555.5555555555</v>
      </c>
      <c r="I136" s="41">
        <f t="shared" si="74"/>
        <v>640000</v>
      </c>
      <c r="J136" s="29">
        <f t="shared" si="75"/>
        <v>3555.5555555555557</v>
      </c>
      <c r="K136" s="42"/>
      <c r="L136" s="33">
        <f t="shared" si="2"/>
        <v>0</v>
      </c>
      <c r="M136" s="196"/>
      <c r="N136" s="29">
        <f t="shared" si="86"/>
        <v>3555.5555555555557</v>
      </c>
      <c r="O136" s="30"/>
      <c r="P136" s="43"/>
      <c r="Q136" s="44"/>
      <c r="R136" s="33"/>
      <c r="V136" s="45"/>
      <c r="W136" s="7"/>
      <c r="X136" s="7"/>
      <c r="Y136" s="46"/>
      <c r="Z136" s="7">
        <f t="shared" si="83"/>
        <v>0</v>
      </c>
      <c r="AA136" s="7"/>
      <c r="AC136" s="7"/>
    </row>
    <row r="137" spans="1:29">
      <c r="A137" s="18">
        <v>45371</v>
      </c>
      <c r="B137" s="37">
        <f t="shared" si="0"/>
        <v>-52888.888888888891</v>
      </c>
      <c r="C137" s="29">
        <v>-40000</v>
      </c>
      <c r="D137" s="29">
        <f t="shared" ref="D137" si="127">-I135*O$4*(A137-A135)/360</f>
        <v>-12888.888888888889</v>
      </c>
      <c r="E137" s="38"/>
      <c r="F137" s="39"/>
      <c r="G137" s="47"/>
      <c r="H137" s="24">
        <f t="shared" si="1"/>
        <v>600000</v>
      </c>
      <c r="I137" s="41">
        <f t="shared" si="74"/>
        <v>600000</v>
      </c>
      <c r="J137" s="29">
        <f t="shared" si="75"/>
        <v>0</v>
      </c>
      <c r="K137" s="42"/>
      <c r="L137" s="33">
        <f t="shared" si="2"/>
        <v>0</v>
      </c>
      <c r="M137" s="196"/>
      <c r="N137" s="29">
        <f t="shared" ref="N137" si="128">I136*O$4*(A137-A136+1)/360</f>
        <v>9333.3333333333339</v>
      </c>
      <c r="O137" s="30"/>
      <c r="P137" s="43"/>
      <c r="Q137" s="44"/>
      <c r="R137" s="33"/>
      <c r="V137" s="45"/>
      <c r="W137" s="7"/>
      <c r="X137" s="7"/>
      <c r="Y137" s="46"/>
      <c r="Z137" s="7"/>
      <c r="AA137" s="7"/>
      <c r="AC137" s="7"/>
    </row>
    <row r="138" spans="1:29">
      <c r="A138" s="18">
        <v>45382</v>
      </c>
      <c r="B138" s="37">
        <f t="shared" si="0"/>
        <v>0</v>
      </c>
      <c r="C138" s="29"/>
      <c r="D138" s="29">
        <v>0</v>
      </c>
      <c r="E138" s="38"/>
      <c r="F138" s="39"/>
      <c r="G138" s="47"/>
      <c r="H138" s="24">
        <f t="shared" si="1"/>
        <v>604166.66666666663</v>
      </c>
      <c r="I138" s="41">
        <f t="shared" si="74"/>
        <v>600000</v>
      </c>
      <c r="J138" s="29">
        <f t="shared" si="75"/>
        <v>4166.666666666667</v>
      </c>
      <c r="K138" s="42"/>
      <c r="L138" s="33">
        <f t="shared" si="2"/>
        <v>0</v>
      </c>
      <c r="M138" s="196"/>
      <c r="N138" s="29">
        <f t="shared" si="86"/>
        <v>4166.666666666667</v>
      </c>
      <c r="O138" s="30"/>
      <c r="P138" s="43"/>
      <c r="Q138" s="44"/>
      <c r="R138" s="33"/>
      <c r="V138" s="45"/>
      <c r="W138" s="7"/>
      <c r="X138" s="7"/>
      <c r="Y138" s="46"/>
      <c r="Z138" s="7">
        <f t="shared" si="83"/>
        <v>0</v>
      </c>
      <c r="AA138" s="7"/>
      <c r="AC138" s="7"/>
    </row>
    <row r="139" spans="1:29">
      <c r="A139" s="18">
        <v>45402</v>
      </c>
      <c r="B139" s="37">
        <f t="shared" si="0"/>
        <v>-52916.666666666664</v>
      </c>
      <c r="C139" s="29">
        <v>-40000</v>
      </c>
      <c r="D139" s="29">
        <f t="shared" ref="D139" si="129">-I137*O$4*(A139-A137)/360</f>
        <v>-12916.666666666666</v>
      </c>
      <c r="E139" s="38"/>
      <c r="F139" s="39"/>
      <c r="G139" s="47"/>
      <c r="H139" s="24">
        <f t="shared" si="1"/>
        <v>560000</v>
      </c>
      <c r="I139" s="41">
        <f t="shared" si="74"/>
        <v>560000</v>
      </c>
      <c r="J139" s="29">
        <f t="shared" si="75"/>
        <v>0</v>
      </c>
      <c r="K139" s="42"/>
      <c r="L139" s="33">
        <f t="shared" si="2"/>
        <v>0</v>
      </c>
      <c r="M139" s="196"/>
      <c r="N139" s="29">
        <f t="shared" ref="N139" si="130">I138*O$4*(A139-A138+1)/360</f>
        <v>8750</v>
      </c>
      <c r="O139" s="30"/>
      <c r="P139" s="43"/>
      <c r="Q139" s="44"/>
      <c r="R139" s="33"/>
      <c r="V139" s="45"/>
      <c r="W139" s="7"/>
      <c r="X139" s="7"/>
      <c r="Y139" s="46"/>
      <c r="Z139" s="7"/>
      <c r="AA139" s="7"/>
      <c r="AC139" s="7"/>
    </row>
    <row r="140" spans="1:29">
      <c r="A140" s="18">
        <v>45412</v>
      </c>
      <c r="B140" s="37">
        <f t="shared" si="0"/>
        <v>0</v>
      </c>
      <c r="C140" s="29"/>
      <c r="D140" s="29">
        <v>0</v>
      </c>
      <c r="E140" s="38"/>
      <c r="F140" s="39"/>
      <c r="G140" s="47"/>
      <c r="H140" s="24">
        <f t="shared" si="1"/>
        <v>563500</v>
      </c>
      <c r="I140" s="41">
        <f t="shared" si="74"/>
        <v>560000</v>
      </c>
      <c r="J140" s="29">
        <f t="shared" si="75"/>
        <v>3500</v>
      </c>
      <c r="K140" s="42"/>
      <c r="L140" s="33">
        <f t="shared" si="2"/>
        <v>0</v>
      </c>
      <c r="M140" s="196"/>
      <c r="N140" s="29">
        <f t="shared" si="86"/>
        <v>3500</v>
      </c>
      <c r="O140" s="30"/>
      <c r="P140" s="43"/>
      <c r="Q140" s="44"/>
      <c r="R140" s="33"/>
      <c r="V140" s="45"/>
      <c r="W140" s="7"/>
      <c r="X140" s="7"/>
      <c r="Y140" s="46"/>
      <c r="Z140" s="7">
        <f t="shared" si="83"/>
        <v>0</v>
      </c>
      <c r="AA140" s="7"/>
      <c r="AC140" s="7"/>
    </row>
    <row r="141" spans="1:29">
      <c r="A141" s="18">
        <v>45432</v>
      </c>
      <c r="B141" s="37">
        <f t="shared" si="0"/>
        <v>-51666.666666666664</v>
      </c>
      <c r="C141" s="29">
        <v>-40000</v>
      </c>
      <c r="D141" s="29">
        <f t="shared" ref="D141" si="131">-I139*O$4*(A141-A139)/360</f>
        <v>-11666.666666666666</v>
      </c>
      <c r="E141" s="38"/>
      <c r="F141" s="39"/>
      <c r="G141" s="47"/>
      <c r="H141" s="24">
        <f t="shared" si="1"/>
        <v>520000</v>
      </c>
      <c r="I141" s="41">
        <f t="shared" si="74"/>
        <v>520000</v>
      </c>
      <c r="J141" s="29">
        <f t="shared" si="75"/>
        <v>0</v>
      </c>
      <c r="K141" s="42"/>
      <c r="L141" s="33">
        <f t="shared" si="2"/>
        <v>0</v>
      </c>
      <c r="M141" s="196"/>
      <c r="N141" s="29">
        <f t="shared" ref="N141" si="132">I140*O$4*(A141-A140+1)/360</f>
        <v>8166.666666666667</v>
      </c>
      <c r="O141" s="30"/>
      <c r="P141" s="43"/>
      <c r="Q141" s="44"/>
      <c r="R141" s="33"/>
      <c r="V141" s="45"/>
      <c r="W141" s="7"/>
      <c r="X141" s="7"/>
      <c r="Y141" s="46"/>
      <c r="Z141" s="7"/>
      <c r="AA141" s="7"/>
      <c r="AC141" s="7"/>
    </row>
    <row r="142" spans="1:29">
      <c r="A142" s="18">
        <v>45443</v>
      </c>
      <c r="B142" s="37">
        <f t="shared" si="0"/>
        <v>0</v>
      </c>
      <c r="C142" s="29"/>
      <c r="D142" s="29">
        <v>0</v>
      </c>
      <c r="E142" s="38"/>
      <c r="F142" s="39"/>
      <c r="G142" s="47"/>
      <c r="H142" s="24">
        <f t="shared" si="1"/>
        <v>523611.11111111112</v>
      </c>
      <c r="I142" s="41">
        <f t="shared" si="74"/>
        <v>520000</v>
      </c>
      <c r="J142" s="29">
        <f t="shared" si="75"/>
        <v>3611.1111111111113</v>
      </c>
      <c r="K142" s="42"/>
      <c r="L142" s="33">
        <f t="shared" si="2"/>
        <v>0</v>
      </c>
      <c r="M142" s="196"/>
      <c r="N142" s="29">
        <f t="shared" si="86"/>
        <v>3611.1111111111113</v>
      </c>
      <c r="O142" s="30"/>
      <c r="P142" s="43"/>
      <c r="Q142" s="44"/>
      <c r="R142" s="33"/>
      <c r="V142" s="45"/>
      <c r="W142" s="7"/>
      <c r="X142" s="7"/>
      <c r="Y142" s="46"/>
      <c r="Z142" s="7">
        <f t="shared" si="83"/>
        <v>0</v>
      </c>
      <c r="AA142" s="7"/>
      <c r="AC142" s="7"/>
    </row>
    <row r="143" spans="1:29">
      <c r="A143" s="18">
        <v>45463</v>
      </c>
      <c r="B143" s="37">
        <f t="shared" si="0"/>
        <v>-51194.444444444445</v>
      </c>
      <c r="C143" s="29">
        <v>-40000</v>
      </c>
      <c r="D143" s="29">
        <f t="shared" ref="D143" si="133">-I141*O$4*(A143-A141)/360</f>
        <v>-11194.444444444445</v>
      </c>
      <c r="E143" s="38"/>
      <c r="F143" s="39"/>
      <c r="G143" s="47"/>
      <c r="H143" s="24">
        <f t="shared" si="1"/>
        <v>480000</v>
      </c>
      <c r="I143" s="41">
        <f t="shared" si="74"/>
        <v>480000</v>
      </c>
      <c r="J143" s="29">
        <f t="shared" si="75"/>
        <v>0</v>
      </c>
      <c r="K143" s="42"/>
      <c r="L143" s="33">
        <f t="shared" si="2"/>
        <v>0</v>
      </c>
      <c r="M143" s="196"/>
      <c r="N143" s="29">
        <f t="shared" ref="N143" si="134">I142*O$4*(A143-A142+1)/360</f>
        <v>7583.333333333333</v>
      </c>
      <c r="O143" s="30"/>
      <c r="P143" s="43"/>
      <c r="Q143" s="44"/>
      <c r="R143" s="33"/>
      <c r="V143" s="45"/>
      <c r="W143" s="7"/>
      <c r="X143" s="7"/>
      <c r="Y143" s="46"/>
      <c r="Z143" s="7"/>
      <c r="AA143" s="7"/>
      <c r="AC143" s="7"/>
    </row>
    <row r="144" spans="1:29">
      <c r="A144" s="18">
        <v>45473</v>
      </c>
      <c r="B144" s="37">
        <f t="shared" si="0"/>
        <v>0</v>
      </c>
      <c r="C144" s="29"/>
      <c r="D144" s="29">
        <v>0</v>
      </c>
      <c r="E144" s="38"/>
      <c r="F144" s="39"/>
      <c r="G144" s="47"/>
      <c r="H144" s="24">
        <f t="shared" si="1"/>
        <v>483000</v>
      </c>
      <c r="I144" s="41">
        <f t="shared" si="74"/>
        <v>480000</v>
      </c>
      <c r="J144" s="29">
        <f t="shared" si="75"/>
        <v>3000</v>
      </c>
      <c r="K144" s="42"/>
      <c r="L144" s="33">
        <f t="shared" si="2"/>
        <v>0</v>
      </c>
      <c r="M144" s="196"/>
      <c r="N144" s="29">
        <f t="shared" si="86"/>
        <v>3000</v>
      </c>
      <c r="O144" s="30"/>
      <c r="P144" s="43"/>
      <c r="Q144" s="44"/>
      <c r="R144" s="33"/>
      <c r="V144" s="45"/>
      <c r="W144" s="7"/>
      <c r="X144" s="7"/>
      <c r="Y144" s="46"/>
      <c r="Z144" s="7">
        <f t="shared" si="83"/>
        <v>0</v>
      </c>
      <c r="AA144" s="7"/>
      <c r="AC144" s="7"/>
    </row>
    <row r="145" spans="1:29">
      <c r="A145" s="18">
        <v>45493</v>
      </c>
      <c r="B145" s="37">
        <f t="shared" si="0"/>
        <v>-50000</v>
      </c>
      <c r="C145" s="29">
        <v>-40000</v>
      </c>
      <c r="D145" s="29">
        <f t="shared" ref="D145" si="135">-I143*O$4*(A145-A143)/360</f>
        <v>-10000</v>
      </c>
      <c r="E145" s="38"/>
      <c r="F145" s="39"/>
      <c r="G145" s="47"/>
      <c r="H145" s="24">
        <f t="shared" si="1"/>
        <v>440000</v>
      </c>
      <c r="I145" s="41">
        <f t="shared" si="74"/>
        <v>440000</v>
      </c>
      <c r="J145" s="29">
        <f t="shared" si="75"/>
        <v>0</v>
      </c>
      <c r="K145" s="42"/>
      <c r="L145" s="33">
        <f t="shared" si="2"/>
        <v>0</v>
      </c>
      <c r="M145" s="196"/>
      <c r="N145" s="29">
        <f t="shared" ref="N145" si="136">I144*O$4*(A145-A144+1)/360</f>
        <v>7000</v>
      </c>
      <c r="O145" s="30"/>
      <c r="P145" s="43"/>
      <c r="Q145" s="44"/>
      <c r="R145" s="33"/>
      <c r="V145" s="45"/>
      <c r="W145" s="7"/>
      <c r="X145" s="7"/>
      <c r="Y145" s="46"/>
      <c r="Z145" s="7"/>
      <c r="AA145" s="7"/>
      <c r="AC145" s="7"/>
    </row>
    <row r="146" spans="1:29">
      <c r="A146" s="18">
        <v>45504</v>
      </c>
      <c r="B146" s="37">
        <f t="shared" si="0"/>
        <v>0</v>
      </c>
      <c r="C146" s="29"/>
      <c r="D146" s="29">
        <v>0</v>
      </c>
      <c r="E146" s="38"/>
      <c r="F146" s="39"/>
      <c r="G146" s="47"/>
      <c r="H146" s="24">
        <f t="shared" si="1"/>
        <v>443055.55555555556</v>
      </c>
      <c r="I146" s="41">
        <f t="shared" si="74"/>
        <v>440000</v>
      </c>
      <c r="J146" s="29">
        <f t="shared" si="75"/>
        <v>3055.5555555555557</v>
      </c>
      <c r="K146" s="42"/>
      <c r="L146" s="33">
        <f t="shared" si="2"/>
        <v>0</v>
      </c>
      <c r="M146" s="196"/>
      <c r="N146" s="29">
        <f t="shared" si="86"/>
        <v>3055.5555555555557</v>
      </c>
      <c r="O146" s="30"/>
      <c r="P146" s="43"/>
      <c r="Q146" s="44"/>
      <c r="R146" s="33"/>
      <c r="V146" s="45"/>
      <c r="W146" s="7"/>
      <c r="X146" s="7"/>
      <c r="Y146" s="46"/>
      <c r="Z146" s="7">
        <f t="shared" si="83"/>
        <v>0</v>
      </c>
      <c r="AA146" s="7"/>
      <c r="AC146" s="7"/>
    </row>
    <row r="147" spans="1:29">
      <c r="A147" s="18">
        <v>45524</v>
      </c>
      <c r="B147" s="37">
        <f t="shared" si="0"/>
        <v>-49472.222222222219</v>
      </c>
      <c r="C147" s="29">
        <v>-40000</v>
      </c>
      <c r="D147" s="29">
        <f t="shared" ref="D147" si="137">-I145*O$4*(A147-A145)/360</f>
        <v>-9472.2222222222226</v>
      </c>
      <c r="E147" s="38"/>
      <c r="F147" s="39"/>
      <c r="G147" s="47"/>
      <c r="H147" s="24">
        <f t="shared" si="1"/>
        <v>400000</v>
      </c>
      <c r="I147" s="41">
        <f t="shared" si="74"/>
        <v>400000</v>
      </c>
      <c r="J147" s="29">
        <f t="shared" si="75"/>
        <v>0</v>
      </c>
      <c r="K147" s="42"/>
      <c r="L147" s="33">
        <f t="shared" si="2"/>
        <v>0</v>
      </c>
      <c r="M147" s="196"/>
      <c r="N147" s="29">
        <f t="shared" ref="N147" si="138">I146*O$4*(A147-A146+1)/360</f>
        <v>6416.666666666667</v>
      </c>
      <c r="O147" s="30"/>
      <c r="P147" s="43"/>
      <c r="Q147" s="44"/>
      <c r="R147" s="33"/>
      <c r="V147" s="45"/>
      <c r="W147" s="7"/>
      <c r="X147" s="7"/>
      <c r="Y147" s="46"/>
      <c r="Z147" s="7"/>
      <c r="AA147" s="7"/>
      <c r="AC147" s="7"/>
    </row>
    <row r="148" spans="1:29">
      <c r="A148" s="18">
        <v>45535</v>
      </c>
      <c r="B148" s="37">
        <f t="shared" si="0"/>
        <v>0</v>
      </c>
      <c r="C148" s="29"/>
      <c r="D148" s="29">
        <v>0</v>
      </c>
      <c r="E148" s="38"/>
      <c r="F148" s="39"/>
      <c r="G148" s="47"/>
      <c r="H148" s="24">
        <f t="shared" si="1"/>
        <v>402777.77777777775</v>
      </c>
      <c r="I148" s="41">
        <f t="shared" si="74"/>
        <v>400000</v>
      </c>
      <c r="J148" s="29">
        <f t="shared" si="75"/>
        <v>2777.7777777777778</v>
      </c>
      <c r="K148" s="42"/>
      <c r="L148" s="33">
        <f t="shared" si="2"/>
        <v>0</v>
      </c>
      <c r="M148" s="196"/>
      <c r="N148" s="29">
        <f t="shared" si="86"/>
        <v>2777.7777777777778</v>
      </c>
      <c r="O148" s="30"/>
      <c r="P148" s="43"/>
      <c r="Q148" s="44"/>
      <c r="R148" s="33"/>
      <c r="V148" s="45"/>
      <c r="W148" s="7"/>
      <c r="X148" s="7"/>
      <c r="Y148" s="46"/>
      <c r="Z148" s="7">
        <f t="shared" si="83"/>
        <v>0</v>
      </c>
      <c r="AA148" s="7"/>
      <c r="AC148" s="7"/>
    </row>
    <row r="149" spans="1:29">
      <c r="A149" s="18">
        <v>45555</v>
      </c>
      <c r="B149" s="37">
        <f t="shared" si="0"/>
        <v>-48611.111111111109</v>
      </c>
      <c r="C149" s="29">
        <v>-40000</v>
      </c>
      <c r="D149" s="29">
        <f t="shared" ref="D149" si="139">-I147*O$4*(A149-A147)/360</f>
        <v>-8611.1111111111113</v>
      </c>
      <c r="E149" s="38"/>
      <c r="F149" s="39"/>
      <c r="G149" s="47"/>
      <c r="H149" s="24">
        <f t="shared" si="1"/>
        <v>360000</v>
      </c>
      <c r="I149" s="41">
        <f t="shared" si="74"/>
        <v>360000</v>
      </c>
      <c r="J149" s="29">
        <f t="shared" si="75"/>
        <v>0</v>
      </c>
      <c r="K149" s="42"/>
      <c r="L149" s="33">
        <f t="shared" si="2"/>
        <v>0</v>
      </c>
      <c r="M149" s="196"/>
      <c r="N149" s="29">
        <f t="shared" ref="N149" si="140">I148*O$4*(A149-A148+1)/360</f>
        <v>5833.333333333333</v>
      </c>
      <c r="O149" s="30"/>
      <c r="P149" s="43"/>
      <c r="Q149" s="44"/>
      <c r="R149" s="33"/>
      <c r="V149" s="45"/>
      <c r="W149" s="7"/>
      <c r="X149" s="7"/>
      <c r="Y149" s="46"/>
      <c r="Z149" s="7"/>
      <c r="AA149" s="7"/>
      <c r="AC149" s="7"/>
    </row>
    <row r="150" spans="1:29">
      <c r="A150" s="18">
        <v>45565</v>
      </c>
      <c r="B150" s="37">
        <f t="shared" si="0"/>
        <v>0</v>
      </c>
      <c r="C150" s="29"/>
      <c r="D150" s="29">
        <v>0</v>
      </c>
      <c r="E150" s="38"/>
      <c r="F150" s="39"/>
      <c r="G150" s="47"/>
      <c r="H150" s="24">
        <f t="shared" si="1"/>
        <v>362250</v>
      </c>
      <c r="I150" s="41">
        <f t="shared" si="74"/>
        <v>360000</v>
      </c>
      <c r="J150" s="29">
        <f t="shared" si="75"/>
        <v>2250</v>
      </c>
      <c r="K150" s="42"/>
      <c r="L150" s="33">
        <f t="shared" si="2"/>
        <v>0</v>
      </c>
      <c r="M150" s="196"/>
      <c r="N150" s="29">
        <f t="shared" si="86"/>
        <v>2250</v>
      </c>
      <c r="O150" s="30"/>
      <c r="P150" s="43"/>
      <c r="Q150" s="44"/>
      <c r="R150" s="33"/>
      <c r="V150" s="45"/>
      <c r="W150" s="7"/>
      <c r="X150" s="7"/>
      <c r="Y150" s="46"/>
      <c r="Z150" s="7">
        <f t="shared" si="83"/>
        <v>0</v>
      </c>
      <c r="AA150" s="7"/>
      <c r="AC150" s="7"/>
    </row>
    <row r="151" spans="1:29">
      <c r="A151" s="18">
        <v>45585</v>
      </c>
      <c r="B151" s="37">
        <f t="shared" si="0"/>
        <v>-47500</v>
      </c>
      <c r="C151" s="29">
        <v>-40000</v>
      </c>
      <c r="D151" s="29">
        <f t="shared" ref="D151" si="141">-I149*O$4*(A151-A149)/360</f>
        <v>-7500</v>
      </c>
      <c r="E151" s="38"/>
      <c r="F151" s="39"/>
      <c r="G151" s="47"/>
      <c r="H151" s="24">
        <f t="shared" si="1"/>
        <v>320000</v>
      </c>
      <c r="I151" s="41">
        <f t="shared" ref="I151:I167" si="142">I150+C151</f>
        <v>320000</v>
      </c>
      <c r="J151" s="29">
        <f t="shared" ref="J151:J167" si="143">J150+N151+D151</f>
        <v>0</v>
      </c>
      <c r="K151" s="42"/>
      <c r="L151" s="33">
        <f t="shared" si="2"/>
        <v>0</v>
      </c>
      <c r="M151" s="196"/>
      <c r="N151" s="29">
        <f t="shared" ref="N151" si="144">I150*O$4*(A151-A150+1)/360</f>
        <v>5250</v>
      </c>
      <c r="O151" s="30"/>
      <c r="P151" s="43"/>
      <c r="Q151" s="44"/>
      <c r="R151" s="33"/>
      <c r="V151" s="45"/>
      <c r="W151" s="7"/>
      <c r="X151" s="7"/>
      <c r="Y151" s="46"/>
      <c r="Z151" s="7"/>
      <c r="AA151" s="7"/>
      <c r="AC151" s="7"/>
    </row>
    <row r="152" spans="1:29">
      <c r="A152" s="18">
        <v>45596</v>
      </c>
      <c r="B152" s="37">
        <f t="shared" si="0"/>
        <v>0</v>
      </c>
      <c r="C152" s="29"/>
      <c r="D152" s="29">
        <v>0</v>
      </c>
      <c r="E152" s="38"/>
      <c r="F152" s="39"/>
      <c r="G152" s="47"/>
      <c r="H152" s="24">
        <f t="shared" si="1"/>
        <v>322222.22222222225</v>
      </c>
      <c r="I152" s="41">
        <f t="shared" si="142"/>
        <v>320000</v>
      </c>
      <c r="J152" s="29">
        <f t="shared" si="143"/>
        <v>2222.2222222222222</v>
      </c>
      <c r="K152" s="42"/>
      <c r="L152" s="33">
        <f t="shared" si="2"/>
        <v>0</v>
      </c>
      <c r="M152" s="196"/>
      <c r="N152" s="29">
        <f t="shared" si="86"/>
        <v>2222.2222222222222</v>
      </c>
      <c r="O152" s="30"/>
      <c r="P152" s="43"/>
      <c r="Q152" s="44"/>
      <c r="R152" s="33"/>
      <c r="V152" s="45"/>
      <c r="W152" s="7"/>
      <c r="X152" s="7"/>
      <c r="Y152" s="46"/>
      <c r="Z152" s="7">
        <f t="shared" si="83"/>
        <v>0</v>
      </c>
      <c r="AA152" s="7"/>
      <c r="AC152" s="7"/>
    </row>
    <row r="153" spans="1:29">
      <c r="A153" s="18">
        <v>45616</v>
      </c>
      <c r="B153" s="37">
        <f t="shared" si="0"/>
        <v>-46888.888888888891</v>
      </c>
      <c r="C153" s="29">
        <v>-40000</v>
      </c>
      <c r="D153" s="29">
        <f t="shared" ref="D153" si="145">-I151*O$4*(A153-A151)/360</f>
        <v>-6888.8888888888887</v>
      </c>
      <c r="E153" s="38"/>
      <c r="F153" s="39"/>
      <c r="G153" s="47"/>
      <c r="H153" s="24">
        <f t="shared" si="1"/>
        <v>280000</v>
      </c>
      <c r="I153" s="41">
        <f t="shared" si="142"/>
        <v>280000</v>
      </c>
      <c r="J153" s="29">
        <f t="shared" si="143"/>
        <v>0</v>
      </c>
      <c r="K153" s="42"/>
      <c r="L153" s="33">
        <f t="shared" si="2"/>
        <v>0</v>
      </c>
      <c r="M153" s="196"/>
      <c r="N153" s="29">
        <f t="shared" ref="N153" si="146">I152*O$4*(A153-A152+1)/360</f>
        <v>4666.666666666667</v>
      </c>
      <c r="O153" s="30"/>
      <c r="P153" s="43"/>
      <c r="Q153" s="44"/>
      <c r="R153" s="33"/>
      <c r="V153" s="45"/>
      <c r="W153" s="7"/>
      <c r="X153" s="7"/>
      <c r="Y153" s="46"/>
      <c r="Z153" s="7"/>
      <c r="AA153" s="7"/>
      <c r="AC153" s="7"/>
    </row>
    <row r="154" spans="1:29">
      <c r="A154" s="18">
        <v>45626</v>
      </c>
      <c r="B154" s="37">
        <f t="shared" si="0"/>
        <v>0</v>
      </c>
      <c r="C154" s="29"/>
      <c r="D154" s="29">
        <v>0</v>
      </c>
      <c r="E154" s="38"/>
      <c r="F154" s="39"/>
      <c r="G154" s="47"/>
      <c r="H154" s="24">
        <f t="shared" si="1"/>
        <v>281750</v>
      </c>
      <c r="I154" s="41">
        <f t="shared" si="142"/>
        <v>280000</v>
      </c>
      <c r="J154" s="29">
        <f t="shared" si="143"/>
        <v>1750</v>
      </c>
      <c r="K154" s="42"/>
      <c r="L154" s="33">
        <f t="shared" si="2"/>
        <v>0</v>
      </c>
      <c r="M154" s="196"/>
      <c r="N154" s="29">
        <f t="shared" si="86"/>
        <v>1750</v>
      </c>
      <c r="O154" s="30"/>
      <c r="P154" s="43"/>
      <c r="Q154" s="44"/>
      <c r="R154" s="33"/>
      <c r="V154" s="45"/>
      <c r="W154" s="7"/>
      <c r="X154" s="7"/>
      <c r="Y154" s="46"/>
      <c r="Z154" s="7">
        <f t="shared" si="83"/>
        <v>0</v>
      </c>
      <c r="AA154" s="7"/>
      <c r="AC154" s="7"/>
    </row>
    <row r="155" spans="1:29">
      <c r="A155" s="18">
        <v>45646</v>
      </c>
      <c r="B155" s="37">
        <f t="shared" si="0"/>
        <v>-45833.333333333336</v>
      </c>
      <c r="C155" s="29">
        <v>-40000</v>
      </c>
      <c r="D155" s="29">
        <f t="shared" ref="D155" si="147">-I153*O$4*(A155-A153)/360</f>
        <v>-5833.333333333333</v>
      </c>
      <c r="E155" s="38"/>
      <c r="F155" s="39"/>
      <c r="G155" s="47"/>
      <c r="H155" s="24">
        <f t="shared" si="1"/>
        <v>240000</v>
      </c>
      <c r="I155" s="41">
        <f t="shared" si="142"/>
        <v>240000</v>
      </c>
      <c r="J155" s="29">
        <f t="shared" si="143"/>
        <v>0</v>
      </c>
      <c r="K155" s="42"/>
      <c r="L155" s="33">
        <f t="shared" si="2"/>
        <v>0</v>
      </c>
      <c r="M155" s="196"/>
      <c r="N155" s="29">
        <f t="shared" ref="N155" si="148">I154*O$4*(A155-A154+1)/360</f>
        <v>4083.3333333333335</v>
      </c>
      <c r="O155" s="30"/>
      <c r="P155" s="43"/>
      <c r="Q155" s="44"/>
      <c r="R155" s="33"/>
      <c r="V155" s="45"/>
      <c r="W155" s="7"/>
      <c r="X155" s="7"/>
      <c r="Y155" s="46"/>
      <c r="Z155" s="7"/>
      <c r="AA155" s="7"/>
      <c r="AC155" s="7"/>
    </row>
    <row r="156" spans="1:29">
      <c r="A156" s="18">
        <v>45657</v>
      </c>
      <c r="B156" s="37">
        <f t="shared" si="0"/>
        <v>0</v>
      </c>
      <c r="C156" s="29"/>
      <c r="D156" s="29">
        <v>0</v>
      </c>
      <c r="E156" s="38"/>
      <c r="F156" s="39"/>
      <c r="G156" s="47"/>
      <c r="H156" s="24">
        <f t="shared" si="1"/>
        <v>241666.66666666666</v>
      </c>
      <c r="I156" s="41">
        <f t="shared" si="142"/>
        <v>240000</v>
      </c>
      <c r="J156" s="29">
        <f t="shared" si="143"/>
        <v>1666.6666666666667</v>
      </c>
      <c r="K156" s="42"/>
      <c r="L156" s="33">
        <f t="shared" si="2"/>
        <v>0</v>
      </c>
      <c r="M156" s="196"/>
      <c r="N156" s="29">
        <f t="shared" si="86"/>
        <v>1666.6666666666667</v>
      </c>
      <c r="O156" s="30"/>
      <c r="P156" s="43"/>
      <c r="Q156" s="44"/>
      <c r="R156" s="33"/>
      <c r="V156" s="45"/>
      <c r="W156" s="7"/>
      <c r="X156" s="7"/>
      <c r="Y156" s="46"/>
      <c r="Z156" s="7">
        <f t="shared" si="83"/>
        <v>0</v>
      </c>
      <c r="AA156" s="7"/>
      <c r="AC156" s="7"/>
    </row>
    <row r="157" spans="1:29">
      <c r="A157" s="18">
        <v>45677</v>
      </c>
      <c r="B157" s="37">
        <f t="shared" si="0"/>
        <v>-45166.666666666664</v>
      </c>
      <c r="C157" s="29">
        <v>-40000</v>
      </c>
      <c r="D157" s="29">
        <f t="shared" ref="D157" si="149">-I155*O$4*(A157-A155)/360</f>
        <v>-5166.666666666667</v>
      </c>
      <c r="E157" s="38"/>
      <c r="F157" s="39"/>
      <c r="G157" s="47"/>
      <c r="H157" s="24">
        <f t="shared" si="1"/>
        <v>200000</v>
      </c>
      <c r="I157" s="41">
        <f t="shared" si="142"/>
        <v>200000</v>
      </c>
      <c r="J157" s="29">
        <f t="shared" si="143"/>
        <v>0</v>
      </c>
      <c r="K157" s="42"/>
      <c r="L157" s="33">
        <f t="shared" si="2"/>
        <v>0</v>
      </c>
      <c r="M157" s="196"/>
      <c r="N157" s="29">
        <f t="shared" ref="N157" si="150">I156*O$4*(A157-A156+1)/360</f>
        <v>3500</v>
      </c>
      <c r="O157" s="30"/>
      <c r="P157" s="43"/>
      <c r="Q157" s="44"/>
      <c r="R157" s="33"/>
      <c r="V157" s="45"/>
      <c r="W157" s="7"/>
      <c r="X157" s="7"/>
      <c r="Y157" s="46"/>
      <c r="Z157" s="7"/>
      <c r="AA157" s="7"/>
      <c r="AC157" s="7"/>
    </row>
    <row r="158" spans="1:29">
      <c r="A158" s="18">
        <v>45688</v>
      </c>
      <c r="B158" s="37">
        <f t="shared" si="0"/>
        <v>0</v>
      </c>
      <c r="C158" s="29"/>
      <c r="D158" s="29">
        <v>0</v>
      </c>
      <c r="E158" s="38"/>
      <c r="F158" s="39"/>
      <c r="G158" s="47"/>
      <c r="H158" s="24">
        <f t="shared" si="1"/>
        <v>201388.88888888888</v>
      </c>
      <c r="I158" s="41">
        <f t="shared" si="142"/>
        <v>200000</v>
      </c>
      <c r="J158" s="29">
        <f t="shared" si="143"/>
        <v>1388.8888888888889</v>
      </c>
      <c r="K158" s="42"/>
      <c r="L158" s="33">
        <f t="shared" si="2"/>
        <v>0</v>
      </c>
      <c r="M158" s="196"/>
      <c r="N158" s="29">
        <f t="shared" si="86"/>
        <v>1388.8888888888889</v>
      </c>
      <c r="O158" s="30"/>
      <c r="P158" s="43"/>
      <c r="Q158" s="44"/>
      <c r="R158" s="33"/>
      <c r="V158" s="45"/>
      <c r="W158" s="7"/>
      <c r="X158" s="7"/>
      <c r="Y158" s="46"/>
      <c r="Z158" s="7">
        <f t="shared" ref="Z158:Z166" si="151">M158+M157</f>
        <v>0</v>
      </c>
      <c r="AA158" s="7"/>
      <c r="AC158" s="7"/>
    </row>
    <row r="159" spans="1:29">
      <c r="A159" s="18">
        <v>45708</v>
      </c>
      <c r="B159" s="37">
        <f t="shared" si="0"/>
        <v>-44305.555555555555</v>
      </c>
      <c r="C159" s="29">
        <v>-40000</v>
      </c>
      <c r="D159" s="29">
        <f t="shared" ref="D159" si="152">-I157*O$4*(A159-A157)/360</f>
        <v>-4305.5555555555557</v>
      </c>
      <c r="E159" s="38"/>
      <c r="F159" s="39"/>
      <c r="G159" s="47"/>
      <c r="H159" s="24">
        <f t="shared" si="1"/>
        <v>160000</v>
      </c>
      <c r="I159" s="41">
        <f t="shared" si="142"/>
        <v>160000</v>
      </c>
      <c r="J159" s="29">
        <f t="shared" si="143"/>
        <v>0</v>
      </c>
      <c r="K159" s="42"/>
      <c r="L159" s="33">
        <f t="shared" si="2"/>
        <v>0</v>
      </c>
      <c r="M159" s="196"/>
      <c r="N159" s="29">
        <f t="shared" ref="N159" si="153">I158*O$4*(A159-A158+1)/360</f>
        <v>2916.6666666666665</v>
      </c>
      <c r="O159" s="30"/>
      <c r="P159" s="43"/>
      <c r="Q159" s="44"/>
      <c r="R159" s="33"/>
      <c r="V159" s="45"/>
      <c r="W159" s="7"/>
      <c r="X159" s="7"/>
      <c r="Y159" s="46"/>
      <c r="Z159" s="7"/>
      <c r="AA159" s="7"/>
      <c r="AC159" s="7"/>
    </row>
    <row r="160" spans="1:29">
      <c r="A160" s="18">
        <v>45716</v>
      </c>
      <c r="B160" s="37">
        <f t="shared" si="0"/>
        <v>0</v>
      </c>
      <c r="C160" s="29"/>
      <c r="D160" s="29">
        <v>0</v>
      </c>
      <c r="E160" s="38"/>
      <c r="F160" s="39"/>
      <c r="G160" s="47"/>
      <c r="H160" s="24">
        <f t="shared" si="1"/>
        <v>160777.77777777778</v>
      </c>
      <c r="I160" s="41">
        <f t="shared" si="142"/>
        <v>160000</v>
      </c>
      <c r="J160" s="29">
        <f t="shared" si="143"/>
        <v>777.77777777777783</v>
      </c>
      <c r="K160" s="42"/>
      <c r="L160" s="33">
        <f t="shared" si="2"/>
        <v>0</v>
      </c>
      <c r="M160" s="196"/>
      <c r="N160" s="29">
        <f t="shared" ref="N160:N166" si="154">I159*O$4*(A160-A159-1)/360</f>
        <v>777.77777777777783</v>
      </c>
      <c r="O160" s="30"/>
      <c r="P160" s="43"/>
      <c r="Q160" s="44"/>
      <c r="R160" s="33"/>
      <c r="V160" s="45"/>
      <c r="W160" s="7"/>
      <c r="X160" s="7"/>
      <c r="Y160" s="46"/>
      <c r="Z160" s="7">
        <f t="shared" si="151"/>
        <v>0</v>
      </c>
      <c r="AA160" s="7"/>
      <c r="AC160" s="7"/>
    </row>
    <row r="161" spans="1:29">
      <c r="A161" s="18">
        <v>45736</v>
      </c>
      <c r="B161" s="37">
        <f t="shared" si="0"/>
        <v>-43111.111111111109</v>
      </c>
      <c r="C161" s="29">
        <v>-40000</v>
      </c>
      <c r="D161" s="29">
        <f t="shared" ref="D161" si="155">-I159*O$4*(A161-A159)/360</f>
        <v>-3111.1111111111113</v>
      </c>
      <c r="E161" s="38"/>
      <c r="F161" s="39"/>
      <c r="G161" s="47"/>
      <c r="H161" s="24">
        <f t="shared" si="1"/>
        <v>120000</v>
      </c>
      <c r="I161" s="41">
        <f t="shared" si="142"/>
        <v>120000</v>
      </c>
      <c r="J161" s="29">
        <f t="shared" si="143"/>
        <v>0</v>
      </c>
      <c r="K161" s="42"/>
      <c r="L161" s="33">
        <f t="shared" si="2"/>
        <v>0</v>
      </c>
      <c r="M161" s="196"/>
      <c r="N161" s="29">
        <f t="shared" ref="N161" si="156">I160*O$4*(A161-A160+1)/360</f>
        <v>2333.3333333333335</v>
      </c>
      <c r="O161" s="30"/>
      <c r="P161" s="43"/>
      <c r="Q161" s="44"/>
      <c r="R161" s="33"/>
      <c r="V161" s="45"/>
      <c r="W161" s="7"/>
      <c r="X161" s="7"/>
      <c r="Y161" s="46"/>
      <c r="Z161" s="7"/>
      <c r="AA161" s="7"/>
      <c r="AC161" s="7"/>
    </row>
    <row r="162" spans="1:29">
      <c r="A162" s="18">
        <v>45747</v>
      </c>
      <c r="B162" s="37">
        <f t="shared" si="0"/>
        <v>0</v>
      </c>
      <c r="C162" s="29"/>
      <c r="D162" s="29">
        <v>0</v>
      </c>
      <c r="E162" s="38"/>
      <c r="F162" s="39"/>
      <c r="G162" s="47"/>
      <c r="H162" s="24">
        <f t="shared" si="1"/>
        <v>120833.33333333333</v>
      </c>
      <c r="I162" s="41">
        <f t="shared" si="142"/>
        <v>120000</v>
      </c>
      <c r="J162" s="29">
        <f t="shared" si="143"/>
        <v>833.33333333333337</v>
      </c>
      <c r="K162" s="42"/>
      <c r="L162" s="33">
        <f t="shared" si="2"/>
        <v>0</v>
      </c>
      <c r="M162" s="196"/>
      <c r="N162" s="29">
        <f t="shared" si="154"/>
        <v>833.33333333333337</v>
      </c>
      <c r="O162" s="30"/>
      <c r="P162" s="43">
        <v>0</v>
      </c>
      <c r="Q162" s="44">
        <f>M162/H30</f>
        <v>0</v>
      </c>
      <c r="R162" s="33"/>
      <c r="S162" s="2">
        <f>N31+N162-D162</f>
        <v>37250</v>
      </c>
      <c r="T162" s="7">
        <f>O162+O31</f>
        <v>0</v>
      </c>
      <c r="U162" s="7">
        <f>M31+M162</f>
        <v>0</v>
      </c>
      <c r="V162" s="45" t="e">
        <f>N162-#REF!</f>
        <v>#REF!</v>
      </c>
      <c r="W162" s="7" t="e">
        <f>J162-#REF!</f>
        <v>#REF!</v>
      </c>
      <c r="X162" s="7"/>
      <c r="Z162" s="7">
        <f t="shared" si="151"/>
        <v>0</v>
      </c>
      <c r="AA162" s="7"/>
      <c r="AC162" s="7"/>
    </row>
    <row r="163" spans="1:29">
      <c r="A163" s="18">
        <v>45767</v>
      </c>
      <c r="B163" s="37">
        <f t="shared" si="0"/>
        <v>-42583.333333333336</v>
      </c>
      <c r="C163" s="29">
        <v>-40000</v>
      </c>
      <c r="D163" s="29">
        <f t="shared" ref="D163" si="157">-I161*O$4*(A163-A161)/360</f>
        <v>-2583.3333333333335</v>
      </c>
      <c r="E163" s="38"/>
      <c r="F163" s="39"/>
      <c r="G163" s="47"/>
      <c r="H163" s="24">
        <f t="shared" si="1"/>
        <v>80000</v>
      </c>
      <c r="I163" s="41">
        <f t="shared" si="142"/>
        <v>80000</v>
      </c>
      <c r="J163" s="29">
        <f t="shared" si="143"/>
        <v>0</v>
      </c>
      <c r="K163" s="42"/>
      <c r="L163" s="33">
        <f t="shared" si="2"/>
        <v>0</v>
      </c>
      <c r="M163" s="196"/>
      <c r="N163" s="29">
        <f t="shared" ref="N163" si="158">I162*O$4*(A163-A162+1)/360</f>
        <v>1750</v>
      </c>
      <c r="O163" s="30"/>
      <c r="P163" s="43">
        <v>0</v>
      </c>
      <c r="Q163" s="44"/>
      <c r="R163" s="33"/>
      <c r="V163" s="45" t="e">
        <f>N163-#REF!</f>
        <v>#REF!</v>
      </c>
      <c r="W163" s="7" t="e">
        <f>J163-#REF!</f>
        <v>#REF!</v>
      </c>
      <c r="X163" s="7">
        <f>ROUND((O162+O163),2)</f>
        <v>0</v>
      </c>
      <c r="Y163" s="46" t="s">
        <v>28</v>
      </c>
      <c r="Z163" s="7"/>
      <c r="AA163" s="7"/>
      <c r="AC163" s="7"/>
    </row>
    <row r="164" spans="1:29">
      <c r="A164" s="18">
        <v>45777</v>
      </c>
      <c r="B164" s="37">
        <f t="shared" si="0"/>
        <v>0</v>
      </c>
      <c r="C164" s="29"/>
      <c r="D164" s="29">
        <v>0</v>
      </c>
      <c r="E164" s="38"/>
      <c r="F164" s="39"/>
      <c r="G164" s="47"/>
      <c r="H164" s="24">
        <f t="shared" si="1"/>
        <v>80500</v>
      </c>
      <c r="I164" s="41">
        <f t="shared" si="142"/>
        <v>80000</v>
      </c>
      <c r="J164" s="29">
        <f t="shared" si="143"/>
        <v>500</v>
      </c>
      <c r="K164" s="42"/>
      <c r="L164" s="33">
        <f t="shared" si="2"/>
        <v>0</v>
      </c>
      <c r="M164" s="196"/>
      <c r="N164" s="29">
        <f t="shared" si="154"/>
        <v>500</v>
      </c>
      <c r="O164" s="30"/>
      <c r="P164" s="43">
        <v>0</v>
      </c>
      <c r="Q164" s="44">
        <f>M164/H162</f>
        <v>0</v>
      </c>
      <c r="R164" s="33"/>
      <c r="S164" s="2">
        <f>N163+N164-D164</f>
        <v>2250</v>
      </c>
      <c r="T164" s="7">
        <f>O164+O163</f>
        <v>0</v>
      </c>
      <c r="U164" s="7">
        <f>M163+M164</f>
        <v>0</v>
      </c>
      <c r="V164" s="45" t="e">
        <f>N164-#REF!</f>
        <v>#REF!</v>
      </c>
      <c r="W164" s="7" t="e">
        <f>J164-#REF!</f>
        <v>#REF!</v>
      </c>
      <c r="X164" s="7"/>
      <c r="Z164" s="7">
        <f t="shared" si="151"/>
        <v>0</v>
      </c>
      <c r="AA164" s="7"/>
      <c r="AC164" s="7"/>
    </row>
    <row r="165" spans="1:29">
      <c r="A165" s="18">
        <v>45797</v>
      </c>
      <c r="B165" s="37">
        <f t="shared" si="0"/>
        <v>-41666.666666666664</v>
      </c>
      <c r="C165" s="29">
        <v>-40000</v>
      </c>
      <c r="D165" s="29">
        <f t="shared" ref="D165" si="159">-I163*O$4*(A165-A163)/360</f>
        <v>-1666.6666666666667</v>
      </c>
      <c r="E165" s="38"/>
      <c r="F165" s="39"/>
      <c r="G165" s="47"/>
      <c r="H165" s="24">
        <f t="shared" si="1"/>
        <v>40000</v>
      </c>
      <c r="I165" s="41">
        <f t="shared" si="142"/>
        <v>40000</v>
      </c>
      <c r="J165" s="29">
        <f t="shared" si="143"/>
        <v>0</v>
      </c>
      <c r="K165" s="42"/>
      <c r="L165" s="33">
        <f t="shared" si="2"/>
        <v>0</v>
      </c>
      <c r="M165" s="196"/>
      <c r="N165" s="29">
        <f t="shared" ref="N165" si="160">I164*O$4*(A165-A164+1)/360</f>
        <v>1166.6666666666667</v>
      </c>
      <c r="O165" s="30"/>
      <c r="P165" s="43">
        <v>0</v>
      </c>
      <c r="Q165" s="44"/>
      <c r="R165" s="33"/>
      <c r="V165" s="45" t="e">
        <f>N165-#REF!</f>
        <v>#REF!</v>
      </c>
      <c r="W165" s="7" t="e">
        <f>J165-#REF!</f>
        <v>#REF!</v>
      </c>
      <c r="X165" s="7">
        <f>ROUND((O164+O165),2)</f>
        <v>0</v>
      </c>
      <c r="Y165" s="46" t="s">
        <v>28</v>
      </c>
      <c r="Z165" s="7"/>
      <c r="AA165" s="7"/>
      <c r="AC165" s="7"/>
    </row>
    <row r="166" spans="1:29">
      <c r="A166" s="18">
        <v>45808</v>
      </c>
      <c r="B166" s="37">
        <f t="shared" si="0"/>
        <v>0</v>
      </c>
      <c r="C166" s="29"/>
      <c r="D166" s="29">
        <v>0</v>
      </c>
      <c r="E166" s="38"/>
      <c r="F166" s="39"/>
      <c r="G166" s="47"/>
      <c r="H166" s="24">
        <f t="shared" si="1"/>
        <v>40277.777777777781</v>
      </c>
      <c r="I166" s="41">
        <f t="shared" si="142"/>
        <v>40000</v>
      </c>
      <c r="J166" s="29">
        <f t="shared" si="143"/>
        <v>277.77777777777777</v>
      </c>
      <c r="K166" s="42"/>
      <c r="L166" s="33">
        <f t="shared" si="2"/>
        <v>0</v>
      </c>
      <c r="M166" s="196"/>
      <c r="N166" s="29">
        <f t="shared" si="154"/>
        <v>277.77777777777777</v>
      </c>
      <c r="O166" s="30"/>
      <c r="P166" s="43">
        <v>0</v>
      </c>
      <c r="Q166" s="44">
        <f>M166/H164</f>
        <v>0</v>
      </c>
      <c r="R166" s="33"/>
      <c r="S166" s="2">
        <f>N165+N166-D166</f>
        <v>1444.4444444444446</v>
      </c>
      <c r="T166" s="7">
        <f>O166+O165</f>
        <v>0</v>
      </c>
      <c r="U166" s="7">
        <f>M165+M166</f>
        <v>0</v>
      </c>
      <c r="V166" s="45" t="e">
        <f>N166-#REF!</f>
        <v>#REF!</v>
      </c>
      <c r="W166" s="7" t="e">
        <f>J166-#REF!</f>
        <v>#REF!</v>
      </c>
      <c r="X166" s="7"/>
      <c r="Z166" s="7">
        <f t="shared" si="151"/>
        <v>0</v>
      </c>
      <c r="AA166" s="7"/>
      <c r="AC166" s="7"/>
    </row>
    <row r="167" spans="1:29" ht="15.75" thickBot="1">
      <c r="A167" s="18">
        <v>45828</v>
      </c>
      <c r="B167" s="37">
        <f t="shared" si="0"/>
        <v>-40833.333333333336</v>
      </c>
      <c r="C167" s="29">
        <v>-40000</v>
      </c>
      <c r="D167" s="29">
        <f>-I165*O$4*(A167-A165-1)/360</f>
        <v>-833.33333333333337</v>
      </c>
      <c r="E167" s="38"/>
      <c r="F167" s="39"/>
      <c r="G167" s="47"/>
      <c r="H167" s="24">
        <f t="shared" si="1"/>
        <v>0</v>
      </c>
      <c r="I167" s="41">
        <f t="shared" si="142"/>
        <v>0</v>
      </c>
      <c r="J167" s="29">
        <f t="shared" si="143"/>
        <v>0</v>
      </c>
      <c r="K167" s="42"/>
      <c r="L167" s="33">
        <f t="shared" si="2"/>
        <v>0</v>
      </c>
      <c r="M167" s="196"/>
      <c r="N167" s="29">
        <f>I166*O$4*(A167-A166)/360</f>
        <v>555.55555555555554</v>
      </c>
      <c r="O167" s="30"/>
      <c r="P167" s="43">
        <v>0</v>
      </c>
      <c r="Q167" s="44"/>
      <c r="R167" s="33"/>
      <c r="V167" s="45" t="e">
        <f>N167-#REF!</f>
        <v>#REF!</v>
      </c>
      <c r="W167" s="7" t="e">
        <f>J167-#REF!</f>
        <v>#REF!</v>
      </c>
      <c r="X167" s="7">
        <f>ROUND((O166+O167),2)</f>
        <v>0</v>
      </c>
      <c r="Y167" s="46" t="s">
        <v>28</v>
      </c>
      <c r="Z167" s="7"/>
      <c r="AA167" s="7"/>
      <c r="AC167" s="7"/>
    </row>
    <row r="168" spans="1:29" ht="16.5" thickTop="1" thickBot="1">
      <c r="A168" s="48" t="s">
        <v>29</v>
      </c>
      <c r="B168" s="49">
        <f>SUM(B20:B167)</f>
        <v>-5203777.7777777771</v>
      </c>
      <c r="C168" s="49">
        <f>SUM(C20:C167)</f>
        <v>-2920000</v>
      </c>
      <c r="D168" s="49">
        <f>SUM(D20:D167)</f>
        <v>-2283777.7777777775</v>
      </c>
      <c r="E168" s="50" t="s">
        <v>30</v>
      </c>
      <c r="F168" s="51" t="s">
        <v>30</v>
      </c>
      <c r="G168" s="52"/>
      <c r="H168" s="53" t="s">
        <v>30</v>
      </c>
      <c r="I168" s="54" t="s">
        <v>30</v>
      </c>
      <c r="J168" s="55" t="s">
        <v>30</v>
      </c>
      <c r="K168" s="56" t="s">
        <v>30</v>
      </c>
      <c r="L168" s="54" t="s">
        <v>30</v>
      </c>
      <c r="M168" s="197">
        <f>SUM(M13:M167)</f>
        <v>107362.09189303836</v>
      </c>
      <c r="N168" s="58">
        <f>SUM(N21:N167)</f>
        <v>2283777.7777777775</v>
      </c>
      <c r="O168" s="59">
        <f>SUM(O20:O167)</f>
        <v>0</v>
      </c>
      <c r="P168" s="60">
        <f>SUM(P16:P167)</f>
        <v>0</v>
      </c>
      <c r="Q168" s="61" t="s">
        <v>24</v>
      </c>
      <c r="R168" s="33"/>
      <c r="S168" s="62">
        <f>SUM(S13:S167)</f>
        <v>383122.22222222225</v>
      </c>
      <c r="X168" s="7"/>
      <c r="Z168" s="7"/>
      <c r="AA168" s="7"/>
    </row>
    <row r="169" spans="1:29">
      <c r="C169" s="7"/>
      <c r="D169" s="7"/>
      <c r="N169" s="63"/>
      <c r="O169" s="64"/>
      <c r="P169" s="65"/>
      <c r="Z169" s="7"/>
    </row>
    <row r="170" spans="1:29">
      <c r="A170" s="189" t="s">
        <v>56</v>
      </c>
      <c r="H170" s="190">
        <f>H167</f>
        <v>0</v>
      </c>
      <c r="K170" s="190">
        <f>K167</f>
        <v>0</v>
      </c>
      <c r="N170" s="190">
        <f>N168+D168</f>
        <v>0</v>
      </c>
      <c r="O170" s="190"/>
      <c r="P170" s="65"/>
      <c r="Z170" s="7"/>
    </row>
    <row r="171" spans="1:29">
      <c r="N171" s="66"/>
      <c r="O171" s="66"/>
      <c r="P171" s="65"/>
      <c r="Z171" s="7"/>
    </row>
    <row r="172" spans="1:29" ht="15.75" thickBot="1">
      <c r="N172" s="65"/>
      <c r="O172" s="65"/>
      <c r="P172" s="65"/>
      <c r="Z172" s="7"/>
    </row>
    <row r="173" spans="1:29" ht="15.75" thickBot="1">
      <c r="E173" s="67"/>
      <c r="G173" s="68" t="e">
        <f>#REF!-#REF!</f>
        <v>#REF!</v>
      </c>
      <c r="N173" s="65"/>
      <c r="O173" s="65"/>
      <c r="P173" s="65"/>
    </row>
    <row r="174" spans="1:29">
      <c r="G174" s="45" t="e">
        <f>ROUND(NPV(#REF!,#REF!),0)-ROUND(NPV(#REF!,#REF!),0)</f>
        <v>#REF!</v>
      </c>
    </row>
    <row r="175" spans="1:29">
      <c r="G175" s="45" t="e">
        <f>ROUND(NPV(#REF!,#REF!)-NPV(#REF!,#REF!),0)</f>
        <v>#REF!</v>
      </c>
    </row>
    <row r="176" spans="1:29">
      <c r="G176" s="45"/>
    </row>
  </sheetData>
  <mergeCells count="23">
    <mergeCell ref="Q9:Q12"/>
    <mergeCell ref="X9:Y12"/>
    <mergeCell ref="G11:G12"/>
    <mergeCell ref="H11:H12"/>
    <mergeCell ref="N11:N12"/>
    <mergeCell ref="O11:O12"/>
    <mergeCell ref="P11:P12"/>
    <mergeCell ref="N2:P2"/>
    <mergeCell ref="A9:A12"/>
    <mergeCell ref="B9:E10"/>
    <mergeCell ref="F9:F12"/>
    <mergeCell ref="H9:L10"/>
    <mergeCell ref="M9:O10"/>
    <mergeCell ref="P9:P10"/>
    <mergeCell ref="L11:L12"/>
    <mergeCell ref="I11:I12"/>
    <mergeCell ref="J11:J12"/>
    <mergeCell ref="K11:K12"/>
    <mergeCell ref="B2:D2"/>
    <mergeCell ref="H2:L2"/>
    <mergeCell ref="C11:C12"/>
    <mergeCell ref="D11:D12"/>
    <mergeCell ref="E11:E1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AC175"/>
  <sheetViews>
    <sheetView topLeftCell="A145" workbookViewId="0">
      <selection activeCell="D166" sqref="D166"/>
    </sheetView>
  </sheetViews>
  <sheetFormatPr defaultRowHeight="15"/>
  <cols>
    <col min="1" max="1" width="12" customWidth="1"/>
    <col min="2" max="3" width="14.7109375" customWidth="1"/>
    <col min="4" max="4" width="13.140625" customWidth="1"/>
    <col min="5" max="5" width="10" customWidth="1"/>
    <col min="6" max="6" width="9.42578125" hidden="1" customWidth="1"/>
    <col min="7" max="7" width="13.85546875" hidden="1" customWidth="1"/>
    <col min="8" max="8" width="13.5703125" customWidth="1"/>
    <col min="9" max="9" width="12.7109375" customWidth="1"/>
    <col min="10" max="10" width="13.42578125" customWidth="1"/>
    <col min="11" max="11" width="12.7109375" customWidth="1"/>
    <col min="12" max="12" width="9.28515625" hidden="1" customWidth="1"/>
    <col min="13" max="13" width="12.28515625" customWidth="1"/>
    <col min="14" max="14" width="16.5703125" customWidth="1"/>
    <col min="15" max="15" width="14.140625" customWidth="1"/>
    <col min="16" max="16" width="11.42578125" hidden="1" customWidth="1"/>
    <col min="17" max="17" width="11.28515625" hidden="1" customWidth="1"/>
    <col min="18" max="18" width="0.7109375" customWidth="1"/>
    <col min="19" max="19" width="12.140625" style="2" hidden="1" customWidth="1"/>
    <col min="20" max="21" width="0" hidden="1" customWidth="1"/>
    <col min="22" max="22" width="11.28515625" hidden="1" customWidth="1"/>
    <col min="23" max="24" width="0" hidden="1" customWidth="1"/>
    <col min="25" max="25" width="49.28515625" hidden="1" customWidth="1"/>
    <col min="26" max="26" width="13.5703125" customWidth="1"/>
    <col min="27" max="27" width="10.140625" customWidth="1"/>
    <col min="29" max="29" width="11.7109375" bestFit="1" customWidth="1"/>
  </cols>
  <sheetData>
    <row r="2" spans="1:29">
      <c r="B2" s="199"/>
      <c r="C2" s="199"/>
      <c r="D2" s="199"/>
      <c r="H2" s="199"/>
      <c r="I2" s="199"/>
      <c r="J2" s="199"/>
      <c r="K2" s="199"/>
      <c r="L2" s="199"/>
      <c r="N2" s="199" t="s">
        <v>0</v>
      </c>
      <c r="O2" s="199"/>
      <c r="P2" s="199"/>
      <c r="Q2" s="1"/>
    </row>
    <row r="3" spans="1:29" ht="4.5" customHeight="1"/>
    <row r="4" spans="1:29">
      <c r="B4" s="3"/>
      <c r="N4" s="3" t="s">
        <v>1</v>
      </c>
      <c r="O4" s="4">
        <v>0.25</v>
      </c>
    </row>
    <row r="5" spans="1:29" ht="4.5" customHeight="1">
      <c r="B5" s="3"/>
    </row>
    <row r="6" spans="1:29">
      <c r="B6" s="3"/>
      <c r="N6" s="3" t="s">
        <v>51</v>
      </c>
      <c r="O6" s="4">
        <f>XIRR(B20:B166,A20:A166)</f>
        <v>0.29149213433265686</v>
      </c>
      <c r="S6" s="5"/>
      <c r="T6" s="6"/>
    </row>
    <row r="7" spans="1:29" ht="4.5" customHeight="1">
      <c r="B7" s="3"/>
    </row>
    <row r="8" spans="1:29" ht="15.75" thickBot="1">
      <c r="C8" s="7"/>
      <c r="D8" s="7"/>
      <c r="H8" s="7"/>
      <c r="I8" s="7"/>
      <c r="N8" s="3" t="s">
        <v>52</v>
      </c>
      <c r="O8" s="191">
        <f>(100%+O6)^(1/365)-100%</f>
        <v>7.0106273434311639E-4</v>
      </c>
    </row>
    <row r="9" spans="1:29" ht="13.5" customHeight="1" thickTop="1">
      <c r="A9" s="200" t="s">
        <v>3</v>
      </c>
      <c r="B9" s="203" t="s">
        <v>4</v>
      </c>
      <c r="C9" s="204"/>
      <c r="D9" s="204"/>
      <c r="E9" s="205"/>
      <c r="F9" s="209" t="s">
        <v>5</v>
      </c>
      <c r="G9" s="185"/>
      <c r="H9" s="212" t="s">
        <v>53</v>
      </c>
      <c r="I9" s="213"/>
      <c r="J9" s="213"/>
      <c r="K9" s="213"/>
      <c r="L9" s="214"/>
      <c r="M9" s="218" t="s">
        <v>54</v>
      </c>
      <c r="N9" s="219"/>
      <c r="O9" s="220"/>
      <c r="P9" s="224" t="s">
        <v>8</v>
      </c>
      <c r="Q9" s="232" t="s">
        <v>9</v>
      </c>
      <c r="R9" s="9"/>
      <c r="X9" s="235" t="s">
        <v>10</v>
      </c>
      <c r="Y9" s="235"/>
    </row>
    <row r="10" spans="1:29" ht="13.5" customHeight="1">
      <c r="A10" s="201"/>
      <c r="B10" s="206"/>
      <c r="C10" s="207"/>
      <c r="D10" s="207"/>
      <c r="E10" s="208"/>
      <c r="F10" s="210"/>
      <c r="G10" s="186"/>
      <c r="H10" s="215"/>
      <c r="I10" s="216"/>
      <c r="J10" s="216"/>
      <c r="K10" s="216"/>
      <c r="L10" s="217"/>
      <c r="M10" s="221"/>
      <c r="N10" s="222"/>
      <c r="O10" s="223"/>
      <c r="P10" s="225"/>
      <c r="Q10" s="233"/>
      <c r="R10" s="9"/>
      <c r="S10" s="11"/>
      <c r="X10" s="235"/>
      <c r="Y10" s="235"/>
    </row>
    <row r="11" spans="1:29" ht="13.5" customHeight="1">
      <c r="A11" s="201"/>
      <c r="B11" s="12"/>
      <c r="C11" s="228" t="s">
        <v>11</v>
      </c>
      <c r="D11" s="228" t="s">
        <v>12</v>
      </c>
      <c r="E11" s="230" t="s">
        <v>13</v>
      </c>
      <c r="F11" s="210"/>
      <c r="G11" s="210" t="s">
        <v>5</v>
      </c>
      <c r="H11" s="236" t="s">
        <v>14</v>
      </c>
      <c r="I11" s="228" t="s">
        <v>11</v>
      </c>
      <c r="J11" s="228" t="s">
        <v>15</v>
      </c>
      <c r="K11" s="228" t="s">
        <v>16</v>
      </c>
      <c r="L11" s="226" t="s">
        <v>17</v>
      </c>
      <c r="M11" s="13"/>
      <c r="N11" s="228" t="s">
        <v>18</v>
      </c>
      <c r="O11" s="238" t="s">
        <v>19</v>
      </c>
      <c r="P11" s="240" t="s">
        <v>20</v>
      </c>
      <c r="Q11" s="233"/>
      <c r="R11" s="9"/>
      <c r="S11" s="14"/>
      <c r="X11" s="235"/>
      <c r="Y11" s="235"/>
    </row>
    <row r="12" spans="1:29" ht="66.75" customHeight="1" thickBot="1">
      <c r="A12" s="202"/>
      <c r="B12" s="15" t="s">
        <v>14</v>
      </c>
      <c r="C12" s="229"/>
      <c r="D12" s="229"/>
      <c r="E12" s="231"/>
      <c r="F12" s="211"/>
      <c r="G12" s="211"/>
      <c r="H12" s="237"/>
      <c r="I12" s="229"/>
      <c r="J12" s="229"/>
      <c r="K12" s="229"/>
      <c r="L12" s="227"/>
      <c r="M12" s="16" t="s">
        <v>21</v>
      </c>
      <c r="N12" s="229"/>
      <c r="O12" s="239"/>
      <c r="P12" s="241"/>
      <c r="Q12" s="234"/>
      <c r="R12" s="17"/>
      <c r="V12" t="s">
        <v>22</v>
      </c>
      <c r="W12" t="s">
        <v>23</v>
      </c>
      <c r="X12" s="235"/>
      <c r="Y12" s="235"/>
      <c r="Z12" s="192" t="s">
        <v>55</v>
      </c>
    </row>
    <row r="13" spans="1:29" ht="16.5" thickTop="1" thickBot="1">
      <c r="A13" s="18">
        <v>43541</v>
      </c>
      <c r="B13" s="19">
        <v>2970000</v>
      </c>
      <c r="C13" s="20">
        <v>3000000</v>
      </c>
      <c r="D13" s="20"/>
      <c r="E13" s="21">
        <v>-30000</v>
      </c>
      <c r="F13" s="22">
        <v>-176113.87177890365</v>
      </c>
      <c r="G13" s="23"/>
      <c r="H13" s="24">
        <v>2970000</v>
      </c>
      <c r="I13" s="25">
        <v>3000000</v>
      </c>
      <c r="J13" s="20"/>
      <c r="K13" s="26">
        <v>-30000</v>
      </c>
      <c r="L13" s="27" t="s">
        <v>24</v>
      </c>
      <c r="M13" s="196"/>
      <c r="N13" s="29"/>
      <c r="O13" s="30"/>
      <c r="P13" s="31" t="s">
        <v>24</v>
      </c>
      <c r="Q13" s="32" t="s">
        <v>24</v>
      </c>
      <c r="R13" s="33"/>
      <c r="S13" s="2">
        <v>0</v>
      </c>
      <c r="U13" s="34"/>
      <c r="X13" s="35" t="s">
        <v>25</v>
      </c>
      <c r="Y13" s="36" t="s">
        <v>26</v>
      </c>
      <c r="Z13" s="7"/>
      <c r="AA13" s="7"/>
    </row>
    <row r="14" spans="1:29" ht="16.5" thickTop="1" thickBot="1">
      <c r="A14" s="18">
        <v>43555</v>
      </c>
      <c r="B14" s="37">
        <v>0</v>
      </c>
      <c r="C14" s="29"/>
      <c r="D14" s="29"/>
      <c r="E14" s="38" t="s">
        <v>24</v>
      </c>
      <c r="F14" s="39" t="e">
        <v>#REF!</v>
      </c>
      <c r="G14" s="40"/>
      <c r="H14" s="24">
        <v>2995209.2608515611</v>
      </c>
      <c r="I14" s="41">
        <v>3000000</v>
      </c>
      <c r="J14" s="29">
        <v>25000</v>
      </c>
      <c r="K14" s="42">
        <v>-29790.739148438806</v>
      </c>
      <c r="L14" s="33">
        <v>0</v>
      </c>
      <c r="M14" s="196">
        <v>25209.260851561194</v>
      </c>
      <c r="N14" s="29">
        <v>25000</v>
      </c>
      <c r="O14" s="30">
        <v>209.2608515611937</v>
      </c>
      <c r="P14" s="43">
        <v>0</v>
      </c>
      <c r="Q14" s="44"/>
      <c r="R14" s="33"/>
      <c r="T14" s="7">
        <v>209.2608515611937</v>
      </c>
      <c r="U14" s="7">
        <v>25209.260851561194</v>
      </c>
      <c r="V14" s="45" t="e">
        <v>#REF!</v>
      </c>
      <c r="W14" s="7" t="e">
        <v>#REF!</v>
      </c>
      <c r="X14" s="7">
        <v>209.26</v>
      </c>
      <c r="Y14" s="46" t="s">
        <v>27</v>
      </c>
      <c r="Z14" s="7">
        <v>25209.260851561194</v>
      </c>
      <c r="AA14" s="7"/>
      <c r="AB14" s="7"/>
      <c r="AC14" s="7"/>
    </row>
    <row r="15" spans="1:29" ht="16.5" thickTop="1" thickBot="1">
      <c r="A15" s="18">
        <v>43573</v>
      </c>
      <c r="B15" s="37">
        <v>-93333.333333333343</v>
      </c>
      <c r="C15" s="29">
        <v>-40000</v>
      </c>
      <c r="D15" s="29">
        <v>-53333.333333333336</v>
      </c>
      <c r="E15" s="38" t="s">
        <v>24</v>
      </c>
      <c r="F15" s="39" t="e">
        <v>#REF!</v>
      </c>
      <c r="G15" s="40"/>
      <c r="H15" s="24">
        <v>2930705.1929941489</v>
      </c>
      <c r="I15" s="41">
        <v>2960000</v>
      </c>
      <c r="J15" s="29">
        <v>0</v>
      </c>
      <c r="K15" s="42">
        <v>-29294.807005850937</v>
      </c>
      <c r="L15" s="33">
        <v>0</v>
      </c>
      <c r="M15" s="196">
        <v>28829.265475921202</v>
      </c>
      <c r="N15" s="29">
        <v>28333.333333333332</v>
      </c>
      <c r="O15" s="30">
        <v>495.93214258786975</v>
      </c>
      <c r="P15" s="43">
        <v>0</v>
      </c>
      <c r="Q15" s="44"/>
      <c r="R15" s="33"/>
      <c r="T15" s="7">
        <v>495.93214258786975</v>
      </c>
      <c r="U15" s="7">
        <v>28829.265475921202</v>
      </c>
      <c r="V15" s="45" t="e">
        <v>#REF!</v>
      </c>
      <c r="W15" s="7" t="e">
        <v>#REF!</v>
      </c>
      <c r="X15" s="7">
        <v>495.93</v>
      </c>
      <c r="Y15" s="46" t="s">
        <v>27</v>
      </c>
      <c r="Z15" s="7"/>
      <c r="AA15" s="7"/>
      <c r="AC15" s="7"/>
    </row>
    <row r="16" spans="1:29" ht="15.75" thickTop="1">
      <c r="A16" s="18">
        <v>43585</v>
      </c>
      <c r="B16" s="37">
        <v>0</v>
      </c>
      <c r="C16" s="29"/>
      <c r="D16" s="29">
        <v>0</v>
      </c>
      <c r="E16" s="38"/>
      <c r="F16" s="39" t="e">
        <v>#REF!</v>
      </c>
      <c r="G16" s="40"/>
      <c r="H16" s="24">
        <v>2952251.9966144352</v>
      </c>
      <c r="I16" s="41">
        <v>2960000</v>
      </c>
      <c r="J16" s="29">
        <v>21377.777777777777</v>
      </c>
      <c r="K16" s="42">
        <v>-29125.781163342668</v>
      </c>
      <c r="L16" s="33">
        <v>0</v>
      </c>
      <c r="M16" s="196">
        <v>21546.803620286046</v>
      </c>
      <c r="N16" s="29">
        <v>21377.777777777777</v>
      </c>
      <c r="O16" s="30">
        <v>169.0258425082684</v>
      </c>
      <c r="P16" s="43">
        <v>0</v>
      </c>
      <c r="Q16" s="44">
        <v>7.2548160337663455E-3</v>
      </c>
      <c r="R16" s="33"/>
      <c r="S16" s="2">
        <v>49711.111111111109</v>
      </c>
      <c r="T16" s="7">
        <v>169.0258425082684</v>
      </c>
      <c r="U16" s="7">
        <v>21546.803620286046</v>
      </c>
      <c r="V16" s="45" t="e">
        <v>#REF!</v>
      </c>
      <c r="W16" s="7" t="e">
        <v>#REF!</v>
      </c>
      <c r="X16" s="7"/>
      <c r="Z16" s="7">
        <v>50376.069096207248</v>
      </c>
      <c r="AA16" s="7"/>
      <c r="AB16" s="7"/>
      <c r="AC16" s="7"/>
    </row>
    <row r="17" spans="1:29">
      <c r="A17" s="95">
        <v>43605</v>
      </c>
      <c r="B17" s="96">
        <v>-92622.222222222219</v>
      </c>
      <c r="C17" s="97">
        <v>-40000</v>
      </c>
      <c r="D17" s="97">
        <v>-52622.222222222219</v>
      </c>
      <c r="E17" s="98"/>
      <c r="F17" s="99"/>
      <c r="G17" s="100"/>
      <c r="H17" s="101">
        <v>2891406.5363374827</v>
      </c>
      <c r="I17" s="102">
        <v>2920000</v>
      </c>
      <c r="J17" s="97">
        <v>0</v>
      </c>
      <c r="K17" s="103">
        <v>-28593.463662517202</v>
      </c>
      <c r="L17" s="104">
        <v>0</v>
      </c>
      <c r="M17" s="198">
        <v>31776.761945269911</v>
      </c>
      <c r="N17" s="97">
        <v>31244.444444444445</v>
      </c>
      <c r="O17" s="106">
        <v>532.31750082546569</v>
      </c>
      <c r="P17" s="43">
        <v>0</v>
      </c>
      <c r="Q17" s="44"/>
      <c r="R17" s="33"/>
      <c r="V17" s="45" t="e">
        <v>#REF!</v>
      </c>
      <c r="W17" s="7" t="e">
        <v>#REF!</v>
      </c>
      <c r="X17" s="7">
        <v>701.34</v>
      </c>
      <c r="Y17" s="46" t="s">
        <v>28</v>
      </c>
      <c r="Z17" s="7"/>
      <c r="AA17" s="7"/>
      <c r="AC17" s="7"/>
    </row>
    <row r="18" spans="1:29">
      <c r="A18" s="18"/>
      <c r="B18" s="37"/>
      <c r="C18" s="29"/>
      <c r="D18" s="29"/>
      <c r="E18" s="38"/>
      <c r="F18" s="39"/>
      <c r="G18" s="47"/>
      <c r="H18" s="24"/>
      <c r="I18" s="41"/>
      <c r="J18" s="29"/>
      <c r="K18" s="42"/>
      <c r="L18" s="33"/>
      <c r="M18" s="196"/>
      <c r="N18" s="29"/>
      <c r="O18" s="30"/>
      <c r="P18" s="43"/>
      <c r="Q18" s="44"/>
      <c r="R18" s="33"/>
      <c r="V18" s="45"/>
      <c r="W18" s="7"/>
      <c r="X18" s="7"/>
      <c r="Y18" s="46"/>
      <c r="Z18" s="7"/>
      <c r="AA18" s="7"/>
      <c r="AC18" s="7"/>
    </row>
    <row r="19" spans="1:29">
      <c r="A19" s="18"/>
      <c r="B19" s="37"/>
      <c r="C19" s="29"/>
      <c r="D19" s="29"/>
      <c r="E19" s="38"/>
      <c r="F19" s="39"/>
      <c r="G19" s="47"/>
      <c r="H19" s="24"/>
      <c r="I19" s="41"/>
      <c r="J19" s="29"/>
      <c r="K19" s="42"/>
      <c r="L19" s="33"/>
      <c r="M19" s="196"/>
      <c r="N19" s="29"/>
      <c r="O19" s="195"/>
      <c r="P19" s="43"/>
      <c r="Q19" s="44"/>
      <c r="R19" s="33"/>
      <c r="V19" s="45"/>
      <c r="W19" s="7"/>
      <c r="X19" s="7"/>
      <c r="Y19" s="46"/>
      <c r="Z19" s="7"/>
      <c r="AA19" s="7"/>
      <c r="AC19" s="7"/>
    </row>
    <row r="20" spans="1:29">
      <c r="A20" s="18">
        <v>43606</v>
      </c>
      <c r="B20" s="37">
        <f>H17</f>
        <v>2891406.5363374827</v>
      </c>
      <c r="C20" s="29"/>
      <c r="D20" s="29"/>
      <c r="E20" s="38"/>
      <c r="F20" s="39"/>
      <c r="G20" s="47"/>
      <c r="H20" s="24">
        <f>-(XNPV($O$6,B20:$B$166,A20:$A$166)-B20)*((1+$O$6)^(1/365))</f>
        <v>2893433.583175438</v>
      </c>
      <c r="I20" s="41">
        <f>I17</f>
        <v>2920000</v>
      </c>
      <c r="J20" s="29">
        <f>J17+N20-D20</f>
        <v>2027.7777777777778</v>
      </c>
      <c r="K20" s="42">
        <f>H20-I20-J20</f>
        <v>-28594.194602339787</v>
      </c>
      <c r="L20" s="33"/>
      <c r="M20" s="196">
        <f>H17*((100%+$O$8)^(A20-A17)-100%)</f>
        <v>2027.057372462315</v>
      </c>
      <c r="N20" s="108">
        <f>(I20)*O4/360</f>
        <v>2027.7777777777778</v>
      </c>
      <c r="O20" s="30">
        <f t="shared" ref="O20:O83" si="0">M20-N20</f>
        <v>-0.72040531546281272</v>
      </c>
      <c r="P20" s="43"/>
      <c r="Q20" s="44"/>
      <c r="R20" s="33"/>
      <c r="V20" s="45"/>
      <c r="W20" s="7"/>
      <c r="X20" s="7"/>
      <c r="Y20" s="46"/>
      <c r="Z20" s="7"/>
      <c r="AA20" s="7"/>
      <c r="AC20" s="7"/>
    </row>
    <row r="21" spans="1:29">
      <c r="A21" s="18">
        <v>43616</v>
      </c>
      <c r="B21" s="37">
        <f t="shared" ref="B21:B166" si="1">SUM(C21:E21)</f>
        <v>0</v>
      </c>
      <c r="C21" s="29"/>
      <c r="D21" s="29">
        <v>0</v>
      </c>
      <c r="E21" s="38"/>
      <c r="F21" s="39"/>
      <c r="G21" s="47"/>
      <c r="H21" s="24">
        <f>I21+J21+K21</f>
        <v>2913782.4816334145</v>
      </c>
      <c r="I21" s="41">
        <f>I20+C21</f>
        <v>2920000</v>
      </c>
      <c r="J21" s="29">
        <f>J20+N21+D21</f>
        <v>22305.555555555555</v>
      </c>
      <c r="K21" s="42">
        <f>K20+O21</f>
        <v>-28523.073922141128</v>
      </c>
      <c r="L21" s="33">
        <f t="shared" ref="L21:L166" si="2">P21</f>
        <v>0</v>
      </c>
      <c r="M21" s="196">
        <f>H20*((100%+$O$8)^(A21-A20)-100%)</f>
        <v>20348.898457976436</v>
      </c>
      <c r="N21" s="29">
        <f>I20*O$4*(A21-A20)/360</f>
        <v>20277.777777777777</v>
      </c>
      <c r="O21" s="30">
        <f t="shared" si="0"/>
        <v>71.120680198659102</v>
      </c>
      <c r="P21" s="43">
        <v>0</v>
      </c>
      <c r="Q21" s="44">
        <f>M21/H16</f>
        <v>6.8926698944778483E-3</v>
      </c>
      <c r="R21" s="33"/>
      <c r="S21" s="2">
        <f>N17+N21-D21</f>
        <v>51522.222222222219</v>
      </c>
      <c r="T21" s="7">
        <f>O21+O17</f>
        <v>603.43818102412479</v>
      </c>
      <c r="U21" s="7">
        <f>M17+M21</f>
        <v>52125.660403246351</v>
      </c>
      <c r="V21" s="45" t="e">
        <f>N21-#REF!</f>
        <v>#REF!</v>
      </c>
      <c r="W21" s="7" t="e">
        <f>J21-#REF!</f>
        <v>#REF!</v>
      </c>
      <c r="X21" s="7"/>
      <c r="Z21" s="7">
        <f>M21+M17</f>
        <v>52125.660403246351</v>
      </c>
      <c r="AA21" s="7"/>
      <c r="AC21" s="7"/>
    </row>
    <row r="22" spans="1:29">
      <c r="A22" s="18">
        <v>43636</v>
      </c>
      <c r="B22" s="37">
        <f t="shared" si="1"/>
        <v>-100833.33333333334</v>
      </c>
      <c r="C22" s="29">
        <v>-40000</v>
      </c>
      <c r="D22" s="29">
        <f>-I20*O$4*(A22-A20)/360</f>
        <v>-60833.333333333336</v>
      </c>
      <c r="E22" s="38"/>
      <c r="F22" s="39"/>
      <c r="G22" s="47"/>
      <c r="H22" s="24">
        <f t="shared" ref="H22:H166" si="3">I22+J22+K22</f>
        <v>2852007.1535772597</v>
      </c>
      <c r="I22" s="41">
        <f t="shared" ref="I22:I85" si="4">I21+C22</f>
        <v>2880000</v>
      </c>
      <c r="J22" s="29">
        <f t="shared" ref="J22:J85" si="5">J21+N22+D22</f>
        <v>0</v>
      </c>
      <c r="K22" s="42">
        <f t="shared" ref="K22:K85" si="6">K21+O22</f>
        <v>-27992.846422740382</v>
      </c>
      <c r="L22" s="33">
        <f t="shared" si="2"/>
        <v>0</v>
      </c>
      <c r="M22" s="196">
        <f t="shared" ref="M22" si="7">H21*((100%+$O$8)^(A22-A21-1)-100%)</f>
        <v>39058.005277178527</v>
      </c>
      <c r="N22" s="29">
        <f t="shared" ref="N22:N84" si="8">I21*O$4*(A22-A21-1)/360</f>
        <v>38527.777777777781</v>
      </c>
      <c r="O22" s="30">
        <f t="shared" si="0"/>
        <v>530.22749940074573</v>
      </c>
      <c r="P22" s="43">
        <v>0</v>
      </c>
      <c r="Q22" s="44"/>
      <c r="R22" s="33"/>
      <c r="V22" s="45" t="e">
        <f>N22-#REF!</f>
        <v>#REF!</v>
      </c>
      <c r="W22" s="7" t="e">
        <f>J22-#REF!</f>
        <v>#REF!</v>
      </c>
      <c r="X22" s="7">
        <f>ROUND((O21+O22),2)</f>
        <v>601.35</v>
      </c>
      <c r="Y22" s="46" t="s">
        <v>28</v>
      </c>
      <c r="Z22" s="7"/>
      <c r="AA22" s="7"/>
      <c r="AC22" s="7"/>
    </row>
    <row r="23" spans="1:29">
      <c r="A23" s="18">
        <v>43646</v>
      </c>
      <c r="B23" s="37">
        <f t="shared" si="1"/>
        <v>0</v>
      </c>
      <c r="C23" s="29"/>
      <c r="D23" s="29">
        <v>0</v>
      </c>
      <c r="E23" s="38"/>
      <c r="F23" s="39"/>
      <c r="G23" s="47"/>
      <c r="H23" s="24">
        <f t="shared" si="3"/>
        <v>2874078.2063696738</v>
      </c>
      <c r="I23" s="41">
        <f t="shared" si="4"/>
        <v>2880000</v>
      </c>
      <c r="J23" s="29">
        <f t="shared" si="5"/>
        <v>22000</v>
      </c>
      <c r="K23" s="42">
        <f t="shared" si="6"/>
        <v>-27921.793630326196</v>
      </c>
      <c r="L23" s="33">
        <f t="shared" si="2"/>
        <v>0</v>
      </c>
      <c r="M23" s="196">
        <f t="shared" ref="M23" si="9">H22*((100%+$O$8)^(A23-A22+1)-100%)</f>
        <v>22071.052792414186</v>
      </c>
      <c r="N23" s="29">
        <f t="shared" ref="N23:N85" si="10">I22*O$4*(A23-A22+1)/360</f>
        <v>22000</v>
      </c>
      <c r="O23" s="30">
        <f t="shared" si="0"/>
        <v>71.052792414186115</v>
      </c>
      <c r="P23" s="43">
        <v>0</v>
      </c>
      <c r="Q23" s="44">
        <f>M23/H21</f>
        <v>7.5747084525134307E-3</v>
      </c>
      <c r="R23" s="33"/>
      <c r="S23" s="2">
        <f>N22+N23-D23</f>
        <v>60527.777777777781</v>
      </c>
      <c r="T23" s="7">
        <f>O23+O22</f>
        <v>601.28029181493184</v>
      </c>
      <c r="U23" s="7">
        <f>M22+M23</f>
        <v>61129.058069592713</v>
      </c>
      <c r="V23" s="45" t="e">
        <f>N23-#REF!</f>
        <v>#REF!</v>
      </c>
      <c r="W23" s="7" t="e">
        <f>J23-#REF!</f>
        <v>#REF!</v>
      </c>
      <c r="X23" s="7"/>
      <c r="Z23" s="7">
        <f t="shared" ref="Z23" si="11">M23+M22</f>
        <v>61129.058069592713</v>
      </c>
      <c r="AA23" s="7"/>
      <c r="AC23" s="7"/>
    </row>
    <row r="24" spans="1:29">
      <c r="A24" s="18">
        <v>43664</v>
      </c>
      <c r="B24" s="37">
        <f t="shared" si="1"/>
        <v>-96000</v>
      </c>
      <c r="C24" s="29">
        <v>-40000</v>
      </c>
      <c r="D24" s="29">
        <f t="shared" ref="D24" si="12">-I22*O$4*(A24-A22)/360</f>
        <v>-56000</v>
      </c>
      <c r="E24" s="38"/>
      <c r="F24" s="39"/>
      <c r="G24" s="47"/>
      <c r="H24" s="24">
        <f t="shared" si="3"/>
        <v>2812524.4471434802</v>
      </c>
      <c r="I24" s="41">
        <f t="shared" si="4"/>
        <v>2840000</v>
      </c>
      <c r="J24" s="29">
        <f t="shared" si="5"/>
        <v>0</v>
      </c>
      <c r="K24" s="42">
        <f t="shared" si="6"/>
        <v>-27475.552856519666</v>
      </c>
      <c r="L24" s="33">
        <f t="shared" si="2"/>
        <v>0</v>
      </c>
      <c r="M24" s="196">
        <f t="shared" ref="M24" si="13">H23*((100%+$O$8)^(A24-A23-1)-100%)</f>
        <v>34446.24077380653</v>
      </c>
      <c r="N24" s="29">
        <f t="shared" si="8"/>
        <v>34000</v>
      </c>
      <c r="O24" s="30">
        <f t="shared" si="0"/>
        <v>446.24077380653034</v>
      </c>
      <c r="P24" s="43">
        <v>0</v>
      </c>
      <c r="Q24" s="44"/>
      <c r="R24" s="33"/>
      <c r="V24" s="45" t="e">
        <f>N24-#REF!</f>
        <v>#REF!</v>
      </c>
      <c r="W24" s="7" t="e">
        <f>J24-#REF!</f>
        <v>#REF!</v>
      </c>
      <c r="X24" s="7">
        <f>ROUND((O23+O24),2)</f>
        <v>517.29</v>
      </c>
      <c r="Y24" s="46" t="s">
        <v>28</v>
      </c>
      <c r="Z24" s="7"/>
      <c r="AA24" s="7"/>
      <c r="AC24" s="7"/>
    </row>
    <row r="25" spans="1:29">
      <c r="A25" s="18">
        <v>43677</v>
      </c>
      <c r="B25" s="37">
        <f t="shared" si="1"/>
        <v>0</v>
      </c>
      <c r="C25" s="29"/>
      <c r="D25" s="29">
        <v>0</v>
      </c>
      <c r="E25" s="38"/>
      <c r="F25" s="39"/>
      <c r="G25" s="47"/>
      <c r="H25" s="24">
        <f t="shared" si="3"/>
        <v>2840255.1772345454</v>
      </c>
      <c r="I25" s="41">
        <f t="shared" si="4"/>
        <v>2840000</v>
      </c>
      <c r="J25" s="29">
        <f t="shared" si="5"/>
        <v>27611.111111111109</v>
      </c>
      <c r="K25" s="42">
        <f t="shared" si="6"/>
        <v>-27355.933876565759</v>
      </c>
      <c r="L25" s="33">
        <f t="shared" si="2"/>
        <v>0</v>
      </c>
      <c r="M25" s="196">
        <f t="shared" ref="M25" si="14">H24*((100%+$O$8)^(A25-A24+1)-100%)</f>
        <v>27730.730091065016</v>
      </c>
      <c r="N25" s="29">
        <f t="shared" si="10"/>
        <v>27611.111111111109</v>
      </c>
      <c r="O25" s="30">
        <f t="shared" si="0"/>
        <v>119.61897995390609</v>
      </c>
      <c r="P25" s="43">
        <v>0</v>
      </c>
      <c r="Q25" s="44">
        <f>M25/H23</f>
        <v>9.6485648962532766E-3</v>
      </c>
      <c r="R25" s="33"/>
      <c r="S25" s="2">
        <f>N24+N25-D25</f>
        <v>61611.111111111109</v>
      </c>
      <c r="T25" s="7">
        <f>O25+O24</f>
        <v>565.85975376043643</v>
      </c>
      <c r="U25" s="7">
        <f>M24+M25</f>
        <v>62176.970864871546</v>
      </c>
      <c r="V25" s="45" t="e">
        <f>N25-#REF!</f>
        <v>#REF!</v>
      </c>
      <c r="W25" s="7" t="e">
        <f>J25-#REF!</f>
        <v>#REF!</v>
      </c>
      <c r="X25" s="7"/>
      <c r="Z25" s="7">
        <f t="shared" ref="Z25" si="15">M25+M24</f>
        <v>62176.970864871546</v>
      </c>
      <c r="AA25" s="7"/>
      <c r="AC25" s="7"/>
    </row>
    <row r="26" spans="1:29">
      <c r="A26" s="18">
        <v>43697</v>
      </c>
      <c r="B26" s="37">
        <f t="shared" si="1"/>
        <v>-105083.33333333334</v>
      </c>
      <c r="C26" s="29">
        <v>-40000</v>
      </c>
      <c r="D26" s="29">
        <f t="shared" ref="D26" si="16">-I24*O$4*(A26-A24)/360</f>
        <v>-65083.333333333336</v>
      </c>
      <c r="E26" s="38"/>
      <c r="F26" s="39"/>
      <c r="G26" s="47"/>
      <c r="H26" s="24">
        <f t="shared" si="3"/>
        <v>2773244.2471777848</v>
      </c>
      <c r="I26" s="41">
        <f t="shared" si="4"/>
        <v>2800000</v>
      </c>
      <c r="J26" s="29">
        <f t="shared" si="5"/>
        <v>0</v>
      </c>
      <c r="K26" s="42">
        <f t="shared" si="6"/>
        <v>-26755.75282221516</v>
      </c>
      <c r="L26" s="33">
        <f t="shared" si="2"/>
        <v>0</v>
      </c>
      <c r="M26" s="196">
        <f t="shared" ref="M26" si="17">H25*((100%+$O$8)^(A26-A25-1)-100%)</f>
        <v>38072.403276572819</v>
      </c>
      <c r="N26" s="29">
        <f t="shared" si="8"/>
        <v>37472.222222222219</v>
      </c>
      <c r="O26" s="30">
        <f t="shared" si="0"/>
        <v>600.18105435059988</v>
      </c>
      <c r="P26" s="43">
        <v>0</v>
      </c>
      <c r="Q26" s="44"/>
      <c r="R26" s="33"/>
      <c r="V26" s="45" t="e">
        <f>N26-#REF!</f>
        <v>#REF!</v>
      </c>
      <c r="W26" s="7" t="e">
        <f>J26-#REF!</f>
        <v>#REF!</v>
      </c>
      <c r="X26" s="7">
        <f>ROUND((O25+O26),2)</f>
        <v>719.8</v>
      </c>
      <c r="Y26" s="46" t="s">
        <v>28</v>
      </c>
      <c r="Z26" s="7"/>
      <c r="AA26" s="7"/>
      <c r="AC26" s="7"/>
    </row>
    <row r="27" spans="1:29">
      <c r="A27" s="18">
        <v>43708</v>
      </c>
      <c r="B27" s="37">
        <f t="shared" si="1"/>
        <v>0</v>
      </c>
      <c r="C27" s="29"/>
      <c r="D27" s="29">
        <v>0</v>
      </c>
      <c r="E27" s="38"/>
      <c r="F27" s="39"/>
      <c r="G27" s="47"/>
      <c r="H27" s="24">
        <f t="shared" si="3"/>
        <v>2796665.0353214638</v>
      </c>
      <c r="I27" s="41">
        <f t="shared" si="4"/>
        <v>2800000</v>
      </c>
      <c r="J27" s="29">
        <f t="shared" si="5"/>
        <v>23333.333333333332</v>
      </c>
      <c r="K27" s="42">
        <f t="shared" si="6"/>
        <v>-26668.298011869621</v>
      </c>
      <c r="L27" s="33">
        <f t="shared" si="2"/>
        <v>0</v>
      </c>
      <c r="M27" s="196">
        <f t="shared" ref="M27" si="18">H26*((100%+$O$8)^(A27-A26+1)-100%)</f>
        <v>23420.78814367887</v>
      </c>
      <c r="N27" s="29">
        <f t="shared" si="10"/>
        <v>23333.333333333332</v>
      </c>
      <c r="O27" s="30">
        <f t="shared" si="0"/>
        <v>87.454810345538135</v>
      </c>
      <c r="P27" s="43">
        <v>0</v>
      </c>
      <c r="Q27" s="44">
        <f>M27/H25</f>
        <v>8.2460154747373265E-3</v>
      </c>
      <c r="R27" s="33"/>
      <c r="S27" s="2">
        <f>N26+N27-D27</f>
        <v>60805.555555555547</v>
      </c>
      <c r="T27" s="7">
        <f>O27+O26</f>
        <v>687.63586469613801</v>
      </c>
      <c r="U27" s="7">
        <f>M26+M27</f>
        <v>61493.191420251693</v>
      </c>
      <c r="V27" s="45" t="e">
        <f>N27-#REF!</f>
        <v>#REF!</v>
      </c>
      <c r="W27" s="7" t="e">
        <f>J27-#REF!</f>
        <v>#REF!</v>
      </c>
      <c r="X27" s="7"/>
      <c r="Z27" s="7">
        <f t="shared" ref="Z27" si="19">M27+M26</f>
        <v>61493.191420251693</v>
      </c>
      <c r="AA27" s="7"/>
      <c r="AC27" s="7"/>
    </row>
    <row r="28" spans="1:29">
      <c r="A28" s="18">
        <v>43727</v>
      </c>
      <c r="B28" s="37">
        <f t="shared" si="1"/>
        <v>-98333.333333333343</v>
      </c>
      <c r="C28" s="29">
        <v>-40000</v>
      </c>
      <c r="D28" s="29">
        <f t="shared" ref="D28" si="20">-I26*O$4*(A28-A26)/360</f>
        <v>-58333.333333333336</v>
      </c>
      <c r="E28" s="38"/>
      <c r="F28" s="39"/>
      <c r="G28" s="47"/>
      <c r="H28" s="24">
        <f t="shared" si="3"/>
        <v>2733834.2709309566</v>
      </c>
      <c r="I28" s="41">
        <f t="shared" si="4"/>
        <v>2760000</v>
      </c>
      <c r="J28" s="29">
        <f t="shared" si="5"/>
        <v>0</v>
      </c>
      <c r="K28" s="42">
        <f t="shared" si="6"/>
        <v>-26165.729069043511</v>
      </c>
      <c r="L28" s="33">
        <f t="shared" si="2"/>
        <v>0</v>
      </c>
      <c r="M28" s="196">
        <f t="shared" ref="M28:M90" si="21">H27*((100%+$O$8)^(A28-A27-1)-100%)</f>
        <v>35502.56894282611</v>
      </c>
      <c r="N28" s="29">
        <f t="shared" si="8"/>
        <v>35000</v>
      </c>
      <c r="O28" s="30">
        <f t="shared" si="0"/>
        <v>502.56894282611029</v>
      </c>
      <c r="P28" s="43">
        <v>0</v>
      </c>
      <c r="Q28" s="44"/>
      <c r="R28" s="33"/>
      <c r="V28" s="45" t="e">
        <f>N28-#REF!</f>
        <v>#REF!</v>
      </c>
      <c r="W28" s="7" t="e">
        <f>J28-#REF!</f>
        <v>#REF!</v>
      </c>
      <c r="X28" s="7">
        <f>ROUND((O27+O28),2)</f>
        <v>590.02</v>
      </c>
      <c r="Y28" s="46" t="s">
        <v>28</v>
      </c>
      <c r="Z28" s="7"/>
      <c r="AA28" s="7"/>
      <c r="AC28" s="7"/>
    </row>
    <row r="29" spans="1:29">
      <c r="A29" s="18">
        <v>43738</v>
      </c>
      <c r="B29" s="37">
        <f t="shared" si="1"/>
        <v>0</v>
      </c>
      <c r="C29" s="29"/>
      <c r="D29" s="29">
        <v>0</v>
      </c>
      <c r="E29" s="38"/>
      <c r="F29" s="39"/>
      <c r="G29" s="47"/>
      <c r="H29" s="24">
        <f t="shared" si="3"/>
        <v>2756922.2313024825</v>
      </c>
      <c r="I29" s="41">
        <f t="shared" si="4"/>
        <v>2760000</v>
      </c>
      <c r="J29" s="29">
        <f t="shared" si="5"/>
        <v>23000</v>
      </c>
      <c r="K29" s="42">
        <f t="shared" si="6"/>
        <v>-26077.768697517669</v>
      </c>
      <c r="L29" s="33">
        <f t="shared" si="2"/>
        <v>0</v>
      </c>
      <c r="M29" s="196">
        <f t="shared" ref="M29:M91" si="22">H28*((100%+$O$8)^(A29-A28+1)-100%)</f>
        <v>23087.960371525842</v>
      </c>
      <c r="N29" s="29">
        <f t="shared" si="10"/>
        <v>23000</v>
      </c>
      <c r="O29" s="30">
        <f t="shared" si="0"/>
        <v>87.960371525841765</v>
      </c>
      <c r="P29" s="43">
        <v>0</v>
      </c>
      <c r="Q29" s="44">
        <f>M29/H27</f>
        <v>8.2555329579797124E-3</v>
      </c>
      <c r="R29" s="33"/>
      <c r="S29" s="2">
        <f>N28+N29-D29</f>
        <v>58000</v>
      </c>
      <c r="T29" s="7">
        <f>O29+O28</f>
        <v>590.52931435195205</v>
      </c>
      <c r="U29" s="7">
        <f>M28+M29</f>
        <v>58590.529314351952</v>
      </c>
      <c r="V29" s="45" t="e">
        <f>N29-#REF!</f>
        <v>#REF!</v>
      </c>
      <c r="W29" s="7" t="e">
        <f>J29-#REF!</f>
        <v>#REF!</v>
      </c>
      <c r="X29" s="7"/>
      <c r="Z29" s="7">
        <f t="shared" ref="Z29:Z91" si="23">M29+M28</f>
        <v>58590.529314351952</v>
      </c>
      <c r="AA29" s="7"/>
      <c r="AC29" s="7"/>
    </row>
    <row r="30" spans="1:29">
      <c r="A30" s="18">
        <v>43758</v>
      </c>
      <c r="B30" s="37">
        <f t="shared" si="1"/>
        <v>-99416.666666666657</v>
      </c>
      <c r="C30" s="29">
        <v>-40000</v>
      </c>
      <c r="D30" s="29">
        <f t="shared" ref="D30" si="24">-I28*O$4*(A30-A28)/360</f>
        <v>-59416.666666666664</v>
      </c>
      <c r="E30" s="38"/>
      <c r="F30" s="39"/>
      <c r="G30" s="47"/>
      <c r="H30" s="24">
        <f t="shared" si="3"/>
        <v>2694460.9254898694</v>
      </c>
      <c r="I30" s="41">
        <f t="shared" si="4"/>
        <v>2720000</v>
      </c>
      <c r="J30" s="29">
        <f t="shared" si="5"/>
        <v>0</v>
      </c>
      <c r="K30" s="42">
        <f t="shared" si="6"/>
        <v>-25539.074510130558</v>
      </c>
      <c r="L30" s="33">
        <f t="shared" si="2"/>
        <v>0</v>
      </c>
      <c r="M30" s="196">
        <f t="shared" si="21"/>
        <v>36955.360854053775</v>
      </c>
      <c r="N30" s="29">
        <f t="shared" si="8"/>
        <v>36416.666666666664</v>
      </c>
      <c r="O30" s="30">
        <f t="shared" si="0"/>
        <v>538.69418738711101</v>
      </c>
      <c r="P30" s="43">
        <v>0</v>
      </c>
      <c r="Q30" s="44"/>
      <c r="R30" s="33"/>
      <c r="V30" s="45" t="e">
        <f>N30-#REF!</f>
        <v>#REF!</v>
      </c>
      <c r="W30" s="7" t="e">
        <f>J30-#REF!</f>
        <v>#REF!</v>
      </c>
      <c r="X30" s="7">
        <f>ROUND((O29+O30),2)</f>
        <v>626.65</v>
      </c>
      <c r="Y30" s="46" t="s">
        <v>28</v>
      </c>
      <c r="Z30" s="7"/>
      <c r="AA30" s="7"/>
      <c r="AC30" s="7"/>
    </row>
    <row r="31" spans="1:29">
      <c r="A31" s="18">
        <v>43769</v>
      </c>
      <c r="B31" s="37">
        <f t="shared" si="1"/>
        <v>0</v>
      </c>
      <c r="C31" s="29"/>
      <c r="D31" s="29">
        <v>0</v>
      </c>
      <c r="E31" s="38"/>
      <c r="F31" s="39"/>
      <c r="G31" s="47"/>
      <c r="H31" s="24">
        <f t="shared" si="3"/>
        <v>2717216.3674461772</v>
      </c>
      <c r="I31" s="41">
        <f t="shared" si="4"/>
        <v>2720000</v>
      </c>
      <c r="J31" s="29">
        <f t="shared" si="5"/>
        <v>22666.666666666668</v>
      </c>
      <c r="K31" s="42">
        <f t="shared" si="6"/>
        <v>-25450.299220489236</v>
      </c>
      <c r="L31" s="33">
        <f t="shared" si="2"/>
        <v>0</v>
      </c>
      <c r="M31" s="196">
        <f t="shared" si="22"/>
        <v>22755.44195630799</v>
      </c>
      <c r="N31" s="29">
        <f t="shared" si="10"/>
        <v>22666.666666666668</v>
      </c>
      <c r="O31" s="30">
        <f t="shared" si="0"/>
        <v>88.775289641322161</v>
      </c>
      <c r="P31" s="43"/>
      <c r="Q31" s="44"/>
      <c r="R31" s="33"/>
      <c r="V31" s="45"/>
      <c r="W31" s="7"/>
      <c r="X31" s="7"/>
      <c r="Y31" s="46"/>
      <c r="Z31" s="7">
        <f t="shared" si="23"/>
        <v>59710.802810361769</v>
      </c>
      <c r="AA31" s="7"/>
      <c r="AC31" s="7"/>
    </row>
    <row r="32" spans="1:29">
      <c r="A32" s="18">
        <v>43789</v>
      </c>
      <c r="B32" s="37">
        <f t="shared" si="1"/>
        <v>-98555.555555555562</v>
      </c>
      <c r="C32" s="29">
        <v>-40000</v>
      </c>
      <c r="D32" s="29">
        <f t="shared" ref="D32" si="25">-I30*O$4*(A32-A30)/360</f>
        <v>-58555.555555555555</v>
      </c>
      <c r="E32" s="38"/>
      <c r="F32" s="39"/>
      <c r="G32" s="47"/>
      <c r="H32" s="24">
        <f t="shared" si="3"/>
        <v>2655083.9326581866</v>
      </c>
      <c r="I32" s="41">
        <f t="shared" si="4"/>
        <v>2680000</v>
      </c>
      <c r="J32" s="29">
        <f>J31+N32+D32</f>
        <v>0</v>
      </c>
      <c r="K32" s="42">
        <f t="shared" si="6"/>
        <v>-24916.067341813286</v>
      </c>
      <c r="L32" s="33">
        <f t="shared" si="2"/>
        <v>0</v>
      </c>
      <c r="M32" s="196">
        <f t="shared" si="21"/>
        <v>36423.12076756484</v>
      </c>
      <c r="N32" s="29">
        <f t="shared" si="8"/>
        <v>35888.888888888891</v>
      </c>
      <c r="O32" s="30">
        <f>M32-N32</f>
        <v>534.2318786759497</v>
      </c>
      <c r="P32" s="43"/>
      <c r="Q32" s="44"/>
      <c r="R32" s="33"/>
      <c r="V32" s="45"/>
      <c r="W32" s="7"/>
      <c r="X32" s="7"/>
      <c r="Y32" s="46"/>
      <c r="Z32" s="7"/>
      <c r="AA32" s="7"/>
      <c r="AC32" s="7"/>
    </row>
    <row r="33" spans="1:29">
      <c r="A33" s="18">
        <v>43799</v>
      </c>
      <c r="B33" s="37">
        <f t="shared" si="1"/>
        <v>0</v>
      </c>
      <c r="C33" s="29"/>
      <c r="D33" s="29">
        <v>0</v>
      </c>
      <c r="E33" s="38"/>
      <c r="F33" s="39"/>
      <c r="G33" s="47"/>
      <c r="H33" s="24">
        <f t="shared" si="3"/>
        <v>2675631.0401829649</v>
      </c>
      <c r="I33" s="41">
        <f t="shared" si="4"/>
        <v>2680000</v>
      </c>
      <c r="J33" s="29">
        <f t="shared" si="5"/>
        <v>20472.222222222223</v>
      </c>
      <c r="K33" s="42">
        <f t="shared" si="6"/>
        <v>-24841.182039256983</v>
      </c>
      <c r="L33" s="33">
        <f t="shared" si="2"/>
        <v>0</v>
      </c>
      <c r="M33" s="196">
        <f t="shared" si="22"/>
        <v>20547.107524778527</v>
      </c>
      <c r="N33" s="29">
        <f t="shared" si="10"/>
        <v>20472.222222222223</v>
      </c>
      <c r="O33" s="30">
        <f t="shared" si="0"/>
        <v>74.885302556303941</v>
      </c>
      <c r="P33" s="43"/>
      <c r="Q33" s="44"/>
      <c r="R33" s="33"/>
      <c r="V33" s="45"/>
      <c r="W33" s="7"/>
      <c r="X33" s="7"/>
      <c r="Y33" s="46"/>
      <c r="Z33" s="7">
        <f t="shared" si="23"/>
        <v>56970.228292343367</v>
      </c>
      <c r="AA33" s="7"/>
      <c r="AC33" s="7"/>
    </row>
    <row r="34" spans="1:29">
      <c r="A34" s="18">
        <v>43818</v>
      </c>
      <c r="B34" s="37">
        <f t="shared" si="1"/>
        <v>-93972.222222222219</v>
      </c>
      <c r="C34" s="29">
        <v>-40000</v>
      </c>
      <c r="D34" s="29">
        <f t="shared" ref="D34" si="26">-I32*O$4*(A34-A32)/360</f>
        <v>-53972.222222222219</v>
      </c>
      <c r="E34" s="38"/>
      <c r="F34" s="39"/>
      <c r="G34" s="47"/>
      <c r="H34" s="24">
        <f t="shared" si="3"/>
        <v>2615624.9076675652</v>
      </c>
      <c r="I34" s="41">
        <f t="shared" si="4"/>
        <v>2640000</v>
      </c>
      <c r="J34" s="29">
        <f t="shared" si="5"/>
        <v>0</v>
      </c>
      <c r="K34" s="42">
        <f t="shared" si="6"/>
        <v>-24375.092332435019</v>
      </c>
      <c r="L34" s="33">
        <f t="shared" si="2"/>
        <v>0</v>
      </c>
      <c r="M34" s="196">
        <f t="shared" si="21"/>
        <v>33966.089706821964</v>
      </c>
      <c r="N34" s="29">
        <f t="shared" si="8"/>
        <v>33500</v>
      </c>
      <c r="O34" s="30">
        <f t="shared" si="0"/>
        <v>466.08970682196377</v>
      </c>
      <c r="P34" s="43"/>
      <c r="Q34" s="44"/>
      <c r="R34" s="33"/>
      <c r="V34" s="45"/>
      <c r="W34" s="7"/>
      <c r="X34" s="7"/>
      <c r="Y34" s="46"/>
      <c r="Z34" s="7"/>
      <c r="AA34" s="7"/>
      <c r="AC34" s="7"/>
    </row>
    <row r="35" spans="1:29">
      <c r="A35" s="18">
        <v>43830</v>
      </c>
      <c r="B35" s="37">
        <f t="shared" si="1"/>
        <v>0</v>
      </c>
      <c r="C35" s="29"/>
      <c r="D35" s="29">
        <v>0</v>
      </c>
      <c r="E35" s="38"/>
      <c r="F35" s="39"/>
      <c r="G35" s="47"/>
      <c r="H35" s="24">
        <f t="shared" si="3"/>
        <v>2639563.7617843077</v>
      </c>
      <c r="I35" s="41">
        <f t="shared" si="4"/>
        <v>2640000</v>
      </c>
      <c r="J35" s="29">
        <f t="shared" si="5"/>
        <v>23833.333333333332</v>
      </c>
      <c r="K35" s="42">
        <f t="shared" si="6"/>
        <v>-24269.571549025623</v>
      </c>
      <c r="L35" s="33">
        <f t="shared" si="2"/>
        <v>0</v>
      </c>
      <c r="M35" s="196">
        <f t="shared" si="22"/>
        <v>23938.854116742728</v>
      </c>
      <c r="N35" s="29">
        <f t="shared" si="10"/>
        <v>23833.333333333332</v>
      </c>
      <c r="O35" s="30">
        <f t="shared" si="0"/>
        <v>105.52078340939624</v>
      </c>
      <c r="P35" s="43"/>
      <c r="Q35" s="44"/>
      <c r="R35" s="33"/>
      <c r="V35" s="45"/>
      <c r="W35" s="7"/>
      <c r="X35" s="7"/>
      <c r="Y35" s="46"/>
      <c r="Z35" s="7">
        <f t="shared" si="23"/>
        <v>57904.943823564696</v>
      </c>
      <c r="AA35" s="7"/>
      <c r="AC35" s="7"/>
    </row>
    <row r="36" spans="1:29">
      <c r="A36" s="18">
        <v>43850</v>
      </c>
      <c r="B36" s="37">
        <f t="shared" si="1"/>
        <v>-98666.666666666657</v>
      </c>
      <c r="C36" s="29">
        <v>-40000</v>
      </c>
      <c r="D36" s="29">
        <f t="shared" ref="D36" si="27">-I34*O$4*(A36-A34)/360</f>
        <v>-58666.666666666664</v>
      </c>
      <c r="E36" s="38"/>
      <c r="F36" s="39"/>
      <c r="G36" s="47"/>
      <c r="H36" s="24">
        <f t="shared" si="3"/>
        <v>2576279.3159893332</v>
      </c>
      <c r="I36" s="41">
        <f t="shared" si="4"/>
        <v>2600000</v>
      </c>
      <c r="J36" s="29">
        <f t="shared" si="5"/>
        <v>0</v>
      </c>
      <c r="K36" s="42">
        <f t="shared" si="6"/>
        <v>-23720.684010666828</v>
      </c>
      <c r="L36" s="33">
        <f t="shared" si="2"/>
        <v>0</v>
      </c>
      <c r="M36" s="196">
        <f t="shared" si="21"/>
        <v>35382.22087169213</v>
      </c>
      <c r="N36" s="29">
        <f t="shared" si="8"/>
        <v>34833.333333333336</v>
      </c>
      <c r="O36" s="30">
        <f t="shared" si="0"/>
        <v>548.8875383587947</v>
      </c>
      <c r="P36" s="43"/>
      <c r="Q36" s="44"/>
      <c r="R36" s="33"/>
      <c r="V36" s="45"/>
      <c r="W36" s="7"/>
      <c r="X36" s="7"/>
      <c r="Y36" s="46"/>
      <c r="Z36" s="7"/>
      <c r="AA36" s="7"/>
      <c r="AC36" s="7"/>
    </row>
    <row r="37" spans="1:29">
      <c r="A37" s="18">
        <v>43861</v>
      </c>
      <c r="B37" s="37">
        <f t="shared" si="1"/>
        <v>0</v>
      </c>
      <c r="C37" s="29"/>
      <c r="D37" s="29">
        <v>0</v>
      </c>
      <c r="E37" s="38"/>
      <c r="F37" s="39"/>
      <c r="G37" s="47"/>
      <c r="H37" s="24">
        <f t="shared" si="3"/>
        <v>2598036.6826980649</v>
      </c>
      <c r="I37" s="41">
        <f t="shared" si="4"/>
        <v>2600000</v>
      </c>
      <c r="J37" s="29">
        <f t="shared" si="5"/>
        <v>21666.666666666668</v>
      </c>
      <c r="K37" s="42">
        <f t="shared" si="6"/>
        <v>-23629.983968601638</v>
      </c>
      <c r="L37" s="33">
        <f t="shared" si="2"/>
        <v>0</v>
      </c>
      <c r="M37" s="196">
        <f t="shared" si="22"/>
        <v>21757.366708731857</v>
      </c>
      <c r="N37" s="29">
        <f t="shared" si="10"/>
        <v>21666.666666666668</v>
      </c>
      <c r="O37" s="30">
        <f t="shared" si="0"/>
        <v>90.700042065189336</v>
      </c>
      <c r="P37" s="43"/>
      <c r="Q37" s="44"/>
      <c r="R37" s="33"/>
      <c r="V37" s="45"/>
      <c r="W37" s="7"/>
      <c r="X37" s="7"/>
      <c r="Y37" s="46"/>
      <c r="Z37" s="7">
        <f t="shared" si="23"/>
        <v>57139.587580423991</v>
      </c>
      <c r="AA37" s="7"/>
      <c r="AC37" s="7"/>
    </row>
    <row r="38" spans="1:29">
      <c r="A38" s="18">
        <v>43881</v>
      </c>
      <c r="B38" s="37">
        <f t="shared" si="1"/>
        <v>-95972.222222222219</v>
      </c>
      <c r="C38" s="29">
        <v>-40000</v>
      </c>
      <c r="D38" s="29">
        <f t="shared" ref="D38" si="28">-I36*O$4*(A38-A36)/360</f>
        <v>-55972.222222222219</v>
      </c>
      <c r="E38" s="38"/>
      <c r="F38" s="39"/>
      <c r="G38" s="47"/>
      <c r="H38" s="24">
        <f t="shared" si="3"/>
        <v>2536890.0286514875</v>
      </c>
      <c r="I38" s="41">
        <f t="shared" si="4"/>
        <v>2560000</v>
      </c>
      <c r="J38" s="29">
        <f t="shared" si="5"/>
        <v>0</v>
      </c>
      <c r="K38" s="42">
        <f t="shared" si="6"/>
        <v>-23109.971348512245</v>
      </c>
      <c r="L38" s="33">
        <f t="shared" si="2"/>
        <v>0</v>
      </c>
      <c r="M38" s="196">
        <f t="shared" si="21"/>
        <v>34825.568175644948</v>
      </c>
      <c r="N38" s="29">
        <f t="shared" si="8"/>
        <v>34305.555555555555</v>
      </c>
      <c r="O38" s="30">
        <f t="shared" si="0"/>
        <v>520.01262008939375</v>
      </c>
      <c r="P38" s="43"/>
      <c r="Q38" s="44"/>
      <c r="R38" s="33"/>
      <c r="V38" s="45"/>
      <c r="W38" s="7"/>
      <c r="X38" s="7"/>
      <c r="Y38" s="46"/>
      <c r="Z38" s="7"/>
      <c r="AA38" s="7"/>
      <c r="AC38" s="7"/>
    </row>
    <row r="39" spans="1:29">
      <c r="A39" s="18">
        <v>43890</v>
      </c>
      <c r="B39" s="37">
        <f t="shared" si="1"/>
        <v>0</v>
      </c>
      <c r="C39" s="29"/>
      <c r="D39" s="29">
        <v>0</v>
      </c>
      <c r="E39" s="38"/>
      <c r="F39" s="39"/>
      <c r="G39" s="47"/>
      <c r="H39" s="24">
        <f t="shared" si="3"/>
        <v>2554731.4326817226</v>
      </c>
      <c r="I39" s="41">
        <f t="shared" si="4"/>
        <v>2560000</v>
      </c>
      <c r="J39" s="29">
        <f t="shared" si="5"/>
        <v>17777.777777777777</v>
      </c>
      <c r="K39" s="42">
        <f t="shared" si="6"/>
        <v>-23046.345096055542</v>
      </c>
      <c r="L39" s="33">
        <f t="shared" si="2"/>
        <v>0</v>
      </c>
      <c r="M39" s="196">
        <f t="shared" si="22"/>
        <v>17841.40403023448</v>
      </c>
      <c r="N39" s="29">
        <f t="shared" si="10"/>
        <v>17777.777777777777</v>
      </c>
      <c r="O39" s="30">
        <f t="shared" si="0"/>
        <v>63.626252456702787</v>
      </c>
      <c r="P39" s="43"/>
      <c r="Q39" s="44"/>
      <c r="R39" s="33"/>
      <c r="V39" s="45"/>
      <c r="W39" s="7"/>
      <c r="X39" s="7"/>
      <c r="Y39" s="46"/>
      <c r="Z39" s="7">
        <f t="shared" si="23"/>
        <v>52666.972205879429</v>
      </c>
      <c r="AA39" s="7"/>
      <c r="AC39" s="7"/>
    </row>
    <row r="40" spans="1:29">
      <c r="A40" s="18">
        <v>43909</v>
      </c>
      <c r="B40" s="37">
        <f t="shared" si="1"/>
        <v>-89777.777777777781</v>
      </c>
      <c r="C40" s="29">
        <v>-40000</v>
      </c>
      <c r="D40" s="29">
        <f t="shared" ref="D40" si="29">-I38*O$4*(A40-A38)/360</f>
        <v>-49777.777777777781</v>
      </c>
      <c r="E40" s="38"/>
      <c r="F40" s="39"/>
      <c r="G40" s="47"/>
      <c r="H40" s="24">
        <f t="shared" si="3"/>
        <v>2497384.9713732628</v>
      </c>
      <c r="I40" s="41">
        <f t="shared" si="4"/>
        <v>2520000</v>
      </c>
      <c r="J40" s="29">
        <f t="shared" si="5"/>
        <v>0</v>
      </c>
      <c r="K40" s="42">
        <f t="shared" si="6"/>
        <v>-22615.028626737188</v>
      </c>
      <c r="L40" s="33">
        <f t="shared" si="2"/>
        <v>0</v>
      </c>
      <c r="M40" s="196">
        <f t="shared" si="21"/>
        <v>32431.316469318353</v>
      </c>
      <c r="N40" s="29">
        <f t="shared" si="8"/>
        <v>32000</v>
      </c>
      <c r="O40" s="30">
        <f t="shared" si="0"/>
        <v>431.31646931835348</v>
      </c>
      <c r="P40" s="43"/>
      <c r="Q40" s="44"/>
      <c r="R40" s="33"/>
      <c r="V40" s="45"/>
      <c r="W40" s="7"/>
      <c r="X40" s="7"/>
      <c r="Y40" s="46"/>
      <c r="Z40" s="7"/>
      <c r="AA40" s="7"/>
      <c r="AC40" s="7"/>
    </row>
    <row r="41" spans="1:29">
      <c r="A41" s="18">
        <v>43921</v>
      </c>
      <c r="B41" s="37">
        <f t="shared" si="1"/>
        <v>0</v>
      </c>
      <c r="C41" s="29"/>
      <c r="D41" s="29">
        <v>0</v>
      </c>
      <c r="E41" s="38"/>
      <c r="F41" s="39"/>
      <c r="G41" s="47"/>
      <c r="H41" s="24">
        <f t="shared" si="3"/>
        <v>2520241.6639853399</v>
      </c>
      <c r="I41" s="41">
        <f t="shared" si="4"/>
        <v>2520000</v>
      </c>
      <c r="J41" s="29">
        <f t="shared" si="5"/>
        <v>22750</v>
      </c>
      <c r="K41" s="42">
        <f t="shared" si="6"/>
        <v>-22508.336014660024</v>
      </c>
      <c r="L41" s="33">
        <f t="shared" si="2"/>
        <v>0</v>
      </c>
      <c r="M41" s="196">
        <f t="shared" si="22"/>
        <v>22856.692612077164</v>
      </c>
      <c r="N41" s="29">
        <f t="shared" si="10"/>
        <v>22750</v>
      </c>
      <c r="O41" s="30">
        <f t="shared" si="0"/>
        <v>106.69261207716409</v>
      </c>
      <c r="P41" s="43"/>
      <c r="Q41" s="44"/>
      <c r="R41" s="33"/>
      <c r="V41" s="45"/>
      <c r="W41" s="7"/>
      <c r="X41" s="7"/>
      <c r="Y41" s="46"/>
      <c r="Z41" s="7">
        <f t="shared" si="23"/>
        <v>55288.009081395518</v>
      </c>
      <c r="AA41" s="7"/>
      <c r="AC41" s="7"/>
    </row>
    <row r="42" spans="1:29">
      <c r="A42" s="18">
        <v>43941</v>
      </c>
      <c r="B42" s="37">
        <f t="shared" si="1"/>
        <v>-96000</v>
      </c>
      <c r="C42" s="29">
        <v>-40000</v>
      </c>
      <c r="D42" s="29">
        <f t="shared" ref="D42" si="30">-I40*O$4*(A42-A40)/360</f>
        <v>-56000</v>
      </c>
      <c r="E42" s="38"/>
      <c r="F42" s="39"/>
      <c r="G42" s="47"/>
      <c r="H42" s="24">
        <f t="shared" si="3"/>
        <v>2458024.4232792058</v>
      </c>
      <c r="I42" s="41">
        <f t="shared" si="4"/>
        <v>2480000</v>
      </c>
      <c r="J42" s="29">
        <f t="shared" si="5"/>
        <v>0</v>
      </c>
      <c r="K42" s="42">
        <f t="shared" si="6"/>
        <v>-21975.576720794226</v>
      </c>
      <c r="L42" s="33">
        <f t="shared" si="2"/>
        <v>0</v>
      </c>
      <c r="M42" s="196">
        <f t="shared" si="21"/>
        <v>33782.759293865798</v>
      </c>
      <c r="N42" s="29">
        <f t="shared" si="8"/>
        <v>33250</v>
      </c>
      <c r="O42" s="30">
        <f t="shared" si="0"/>
        <v>532.7592938657981</v>
      </c>
      <c r="P42" s="43"/>
      <c r="Q42" s="44"/>
      <c r="R42" s="33"/>
      <c r="V42" s="45"/>
      <c r="W42" s="7"/>
      <c r="X42" s="7"/>
      <c r="Y42" s="46"/>
      <c r="Z42" s="7"/>
      <c r="AA42" s="7"/>
      <c r="AC42" s="7"/>
    </row>
    <row r="43" spans="1:29">
      <c r="A43" s="18">
        <v>43951</v>
      </c>
      <c r="B43" s="37">
        <f t="shared" si="1"/>
        <v>0</v>
      </c>
      <c r="C43" s="29"/>
      <c r="D43" s="29">
        <v>0</v>
      </c>
      <c r="E43" s="38"/>
      <c r="F43" s="39"/>
      <c r="G43" s="47"/>
      <c r="H43" s="24">
        <f t="shared" si="3"/>
        <v>2477046.5308300904</v>
      </c>
      <c r="I43" s="41">
        <f t="shared" si="4"/>
        <v>2480000</v>
      </c>
      <c r="J43" s="29">
        <f t="shared" si="5"/>
        <v>18944.444444444445</v>
      </c>
      <c r="K43" s="42">
        <f t="shared" si="6"/>
        <v>-21897.913614354111</v>
      </c>
      <c r="L43" s="33">
        <f t="shared" si="2"/>
        <v>0</v>
      </c>
      <c r="M43" s="196">
        <f t="shared" si="22"/>
        <v>19022.107550884561</v>
      </c>
      <c r="N43" s="29">
        <f t="shared" si="10"/>
        <v>18944.444444444445</v>
      </c>
      <c r="O43" s="30">
        <f t="shared" si="0"/>
        <v>77.663106440115371</v>
      </c>
      <c r="P43" s="43"/>
      <c r="Q43" s="44"/>
      <c r="R43" s="33"/>
      <c r="V43" s="45"/>
      <c r="W43" s="7"/>
      <c r="X43" s="7"/>
      <c r="Y43" s="46"/>
      <c r="Z43" s="7">
        <f t="shared" si="23"/>
        <v>52804.866844750359</v>
      </c>
      <c r="AA43" s="7"/>
      <c r="AC43" s="7"/>
    </row>
    <row r="44" spans="1:29">
      <c r="A44" s="18">
        <v>43971</v>
      </c>
      <c r="B44" s="37">
        <f t="shared" si="1"/>
        <v>-91666.666666666657</v>
      </c>
      <c r="C44" s="29">
        <v>-40000</v>
      </c>
      <c r="D44" s="29">
        <f t="shared" ref="D44" si="31">-I42*O$4*(A44-A42)/360</f>
        <v>-51666.666666666664</v>
      </c>
      <c r="E44" s="38"/>
      <c r="F44" s="39"/>
      <c r="G44" s="47"/>
      <c r="H44" s="24">
        <f t="shared" si="3"/>
        <v>2418583.6112113991</v>
      </c>
      <c r="I44" s="41">
        <f t="shared" si="4"/>
        <v>2440000</v>
      </c>
      <c r="J44" s="29">
        <f t="shared" si="5"/>
        <v>0</v>
      </c>
      <c r="K44" s="42">
        <f t="shared" si="6"/>
        <v>-21416.388788600761</v>
      </c>
      <c r="L44" s="33">
        <f t="shared" si="2"/>
        <v>0</v>
      </c>
      <c r="M44" s="196">
        <f t="shared" si="21"/>
        <v>33203.747047975572</v>
      </c>
      <c r="N44" s="29">
        <f t="shared" si="8"/>
        <v>32722.222222222223</v>
      </c>
      <c r="O44" s="30">
        <f t="shared" si="0"/>
        <v>481.52482575334943</v>
      </c>
      <c r="P44" s="43"/>
      <c r="Q44" s="44"/>
      <c r="R44" s="33"/>
      <c r="V44" s="45"/>
      <c r="W44" s="7"/>
      <c r="X44" s="7"/>
      <c r="Y44" s="46"/>
      <c r="Z44" s="7"/>
      <c r="AA44" s="7"/>
      <c r="AC44" s="7"/>
    </row>
    <row r="45" spans="1:29">
      <c r="A45" s="18">
        <v>43982</v>
      </c>
      <c r="B45" s="37">
        <f t="shared" si="1"/>
        <v>0</v>
      </c>
      <c r="C45" s="29"/>
      <c r="D45" s="29">
        <v>0</v>
      </c>
      <c r="E45" s="38"/>
      <c r="F45" s="39"/>
      <c r="G45" s="47"/>
      <c r="H45" s="24">
        <f t="shared" si="3"/>
        <v>2439009.1955873882</v>
      </c>
      <c r="I45" s="41">
        <f t="shared" si="4"/>
        <v>2440000</v>
      </c>
      <c r="J45" s="29">
        <f t="shared" si="5"/>
        <v>20333.333333333332</v>
      </c>
      <c r="K45" s="42">
        <f t="shared" si="6"/>
        <v>-21324.137745945085</v>
      </c>
      <c r="L45" s="33">
        <f t="shared" si="2"/>
        <v>0</v>
      </c>
      <c r="M45" s="196">
        <f t="shared" si="22"/>
        <v>20425.584375989009</v>
      </c>
      <c r="N45" s="29">
        <f t="shared" si="10"/>
        <v>20333.333333333332</v>
      </c>
      <c r="O45" s="30">
        <f t="shared" si="0"/>
        <v>92.251042655676429</v>
      </c>
      <c r="P45" s="43"/>
      <c r="Q45" s="44"/>
      <c r="R45" s="33"/>
      <c r="V45" s="45"/>
      <c r="W45" s="7"/>
      <c r="X45" s="7"/>
      <c r="Y45" s="46"/>
      <c r="Z45" s="7">
        <f t="shared" si="23"/>
        <v>53629.331423964584</v>
      </c>
      <c r="AA45" s="7"/>
      <c r="AC45" s="7"/>
    </row>
    <row r="46" spans="1:29">
      <c r="A46" s="18">
        <v>44002</v>
      </c>
      <c r="B46" s="37">
        <f t="shared" si="1"/>
        <v>-92527.777777777781</v>
      </c>
      <c r="C46" s="29">
        <v>-40000</v>
      </c>
      <c r="D46" s="29">
        <f t="shared" ref="D46" si="32">-I44*O$4*(A46-A44)/360</f>
        <v>-52527.777777777781</v>
      </c>
      <c r="E46" s="38"/>
      <c r="F46" s="39"/>
      <c r="G46" s="47"/>
      <c r="H46" s="24">
        <f t="shared" si="3"/>
        <v>2379175.2906820071</v>
      </c>
      <c r="I46" s="41">
        <f t="shared" si="4"/>
        <v>2400000</v>
      </c>
      <c r="J46" s="29">
        <f t="shared" si="5"/>
        <v>0</v>
      </c>
      <c r="K46" s="42">
        <f t="shared" si="6"/>
        <v>-20824.709317992922</v>
      </c>
      <c r="L46" s="33">
        <f t="shared" si="2"/>
        <v>0</v>
      </c>
      <c r="M46" s="196">
        <f t="shared" si="21"/>
        <v>32693.872872396609</v>
      </c>
      <c r="N46" s="29">
        <f t="shared" si="8"/>
        <v>32194.444444444445</v>
      </c>
      <c r="O46" s="30">
        <f t="shared" si="0"/>
        <v>499.42842795216347</v>
      </c>
      <c r="P46" s="43"/>
      <c r="Q46" s="44"/>
      <c r="R46" s="33"/>
      <c r="V46" s="45"/>
      <c r="W46" s="7"/>
      <c r="X46" s="7"/>
      <c r="Y46" s="46"/>
      <c r="Z46" s="7"/>
      <c r="AA46" s="7"/>
      <c r="AC46" s="7"/>
    </row>
    <row r="47" spans="1:29">
      <c r="A47" s="18">
        <v>44012</v>
      </c>
      <c r="B47" s="37">
        <f t="shared" si="1"/>
        <v>0</v>
      </c>
      <c r="C47" s="29"/>
      <c r="D47" s="29">
        <v>0</v>
      </c>
      <c r="E47" s="38"/>
      <c r="F47" s="39"/>
      <c r="G47" s="47"/>
      <c r="H47" s="24">
        <f t="shared" si="3"/>
        <v>2397587.2022289983</v>
      </c>
      <c r="I47" s="41">
        <f t="shared" si="4"/>
        <v>2400000</v>
      </c>
      <c r="J47" s="29">
        <f t="shared" si="5"/>
        <v>18333.333333333332</v>
      </c>
      <c r="K47" s="42">
        <f t="shared" si="6"/>
        <v>-20746.131104335302</v>
      </c>
      <c r="L47" s="33">
        <f t="shared" si="2"/>
        <v>0</v>
      </c>
      <c r="M47" s="196">
        <f t="shared" si="22"/>
        <v>18411.911546990952</v>
      </c>
      <c r="N47" s="29">
        <f t="shared" si="10"/>
        <v>18333.333333333332</v>
      </c>
      <c r="O47" s="30">
        <f t="shared" si="0"/>
        <v>78.578213657619926</v>
      </c>
      <c r="P47" s="43"/>
      <c r="Q47" s="44"/>
      <c r="R47" s="33"/>
      <c r="V47" s="45"/>
      <c r="W47" s="7"/>
      <c r="X47" s="7"/>
      <c r="Y47" s="46"/>
      <c r="Z47" s="7">
        <f t="shared" si="23"/>
        <v>51105.784419387564</v>
      </c>
      <c r="AA47" s="7"/>
      <c r="AC47" s="7"/>
    </row>
    <row r="48" spans="1:29">
      <c r="A48" s="18">
        <v>44030</v>
      </c>
      <c r="B48" s="37">
        <f t="shared" si="1"/>
        <v>-86666.666666666657</v>
      </c>
      <c r="C48" s="29">
        <v>-40000</v>
      </c>
      <c r="D48" s="29">
        <f t="shared" ref="D48" si="33">-I46*O$4*(A48-A46)/360</f>
        <v>-46666.666666666664</v>
      </c>
      <c r="E48" s="38"/>
      <c r="F48" s="39"/>
      <c r="G48" s="47"/>
      <c r="H48" s="24">
        <f t="shared" si="3"/>
        <v>2339655.9631025917</v>
      </c>
      <c r="I48" s="41">
        <f t="shared" si="4"/>
        <v>2360000</v>
      </c>
      <c r="J48" s="29">
        <f t="shared" si="5"/>
        <v>0</v>
      </c>
      <c r="K48" s="42">
        <f t="shared" si="6"/>
        <v>-20344.036897408267</v>
      </c>
      <c r="L48" s="33">
        <f t="shared" si="2"/>
        <v>0</v>
      </c>
      <c r="M48" s="196">
        <f t="shared" si="21"/>
        <v>28735.427540260367</v>
      </c>
      <c r="N48" s="29">
        <f t="shared" si="8"/>
        <v>28333.333333333332</v>
      </c>
      <c r="O48" s="30">
        <f t="shared" si="0"/>
        <v>402.09420692703497</v>
      </c>
      <c r="P48" s="43"/>
      <c r="Q48" s="44"/>
      <c r="R48" s="33"/>
      <c r="V48" s="45"/>
      <c r="W48" s="7"/>
      <c r="X48" s="7"/>
      <c r="Y48" s="46"/>
      <c r="Z48" s="7"/>
      <c r="AA48" s="7"/>
      <c r="AC48" s="7"/>
    </row>
    <row r="49" spans="1:29">
      <c r="A49" s="18">
        <v>44043</v>
      </c>
      <c r="B49" s="37">
        <f t="shared" si="1"/>
        <v>0</v>
      </c>
      <c r="C49" s="29"/>
      <c r="D49" s="29">
        <v>0</v>
      </c>
      <c r="E49" s="38"/>
      <c r="F49" s="39"/>
      <c r="G49" s="47"/>
      <c r="H49" s="24">
        <f t="shared" si="3"/>
        <v>2362724.3378805048</v>
      </c>
      <c r="I49" s="41">
        <f t="shared" si="4"/>
        <v>2360000</v>
      </c>
      <c r="J49" s="29">
        <f t="shared" si="5"/>
        <v>22944.444444444445</v>
      </c>
      <c r="K49" s="42">
        <f t="shared" si="6"/>
        <v>-20220.106563939578</v>
      </c>
      <c r="L49" s="33">
        <f t="shared" si="2"/>
        <v>0</v>
      </c>
      <c r="M49" s="196">
        <f t="shared" si="22"/>
        <v>23068.374777913134</v>
      </c>
      <c r="N49" s="29">
        <f t="shared" si="10"/>
        <v>22944.444444444445</v>
      </c>
      <c r="O49" s="30">
        <f t="shared" si="0"/>
        <v>123.93033346868833</v>
      </c>
      <c r="P49" s="43"/>
      <c r="Q49" s="44"/>
      <c r="R49" s="33"/>
      <c r="V49" s="45"/>
      <c r="W49" s="7"/>
      <c r="X49" s="7"/>
      <c r="Y49" s="46"/>
      <c r="Z49" s="7">
        <f t="shared" si="23"/>
        <v>51803.802318173504</v>
      </c>
      <c r="AA49" s="7"/>
      <c r="AC49" s="7"/>
    </row>
    <row r="50" spans="1:29">
      <c r="A50" s="18">
        <v>44063</v>
      </c>
      <c r="B50" s="37">
        <f t="shared" si="1"/>
        <v>-94083.333333333343</v>
      </c>
      <c r="C50" s="29">
        <v>-40000</v>
      </c>
      <c r="D50" s="29">
        <f t="shared" ref="D50" si="34">-I48*O$4*(A50-A48)/360</f>
        <v>-54083.333333333336</v>
      </c>
      <c r="E50" s="38"/>
      <c r="F50" s="39"/>
      <c r="G50" s="47"/>
      <c r="H50" s="24">
        <f t="shared" si="3"/>
        <v>2300312.3115987955</v>
      </c>
      <c r="I50" s="41">
        <f t="shared" si="4"/>
        <v>2320000</v>
      </c>
      <c r="J50" s="29">
        <f t="shared" si="5"/>
        <v>0</v>
      </c>
      <c r="K50" s="42">
        <f t="shared" si="6"/>
        <v>-19687.68840120445</v>
      </c>
      <c r="L50" s="33">
        <f t="shared" si="2"/>
        <v>0</v>
      </c>
      <c r="M50" s="196">
        <f t="shared" si="21"/>
        <v>31671.307051624019</v>
      </c>
      <c r="N50" s="29">
        <f t="shared" si="8"/>
        <v>31138.888888888891</v>
      </c>
      <c r="O50" s="30">
        <f t="shared" si="0"/>
        <v>532.41816273512813</v>
      </c>
      <c r="P50" s="43"/>
      <c r="Q50" s="44"/>
      <c r="R50" s="33"/>
      <c r="V50" s="45"/>
      <c r="W50" s="7"/>
      <c r="X50" s="7"/>
      <c r="Y50" s="46"/>
      <c r="Z50" s="7"/>
      <c r="AA50" s="7"/>
      <c r="AC50" s="7"/>
    </row>
    <row r="51" spans="1:29">
      <c r="A51" s="18">
        <v>44074</v>
      </c>
      <c r="B51" s="37">
        <f t="shared" si="1"/>
        <v>0</v>
      </c>
      <c r="C51" s="29"/>
      <c r="D51" s="29">
        <v>0</v>
      </c>
      <c r="E51" s="38"/>
      <c r="F51" s="39"/>
      <c r="G51" s="47"/>
      <c r="H51" s="24">
        <f t="shared" si="3"/>
        <v>2319739.0632702643</v>
      </c>
      <c r="I51" s="41">
        <f t="shared" si="4"/>
        <v>2320000</v>
      </c>
      <c r="J51" s="29">
        <f t="shared" si="5"/>
        <v>19333.333333333332</v>
      </c>
      <c r="K51" s="42">
        <f t="shared" si="6"/>
        <v>-19594.270063069223</v>
      </c>
      <c r="L51" s="33">
        <f t="shared" si="2"/>
        <v>0</v>
      </c>
      <c r="M51" s="196">
        <f t="shared" si="22"/>
        <v>19426.751671468559</v>
      </c>
      <c r="N51" s="29">
        <f t="shared" si="10"/>
        <v>19333.333333333332</v>
      </c>
      <c r="O51" s="30">
        <f t="shared" si="0"/>
        <v>93.418338135226804</v>
      </c>
      <c r="P51" s="43"/>
      <c r="Q51" s="44"/>
      <c r="R51" s="33"/>
      <c r="V51" s="45"/>
      <c r="W51" s="7"/>
      <c r="X51" s="7"/>
      <c r="Y51" s="46"/>
      <c r="Z51" s="7">
        <f t="shared" si="23"/>
        <v>51098.058723092574</v>
      </c>
      <c r="AA51" s="7"/>
      <c r="AC51" s="7"/>
    </row>
    <row r="52" spans="1:29">
      <c r="A52" s="18">
        <v>44093</v>
      </c>
      <c r="B52" s="37">
        <f t="shared" si="1"/>
        <v>-88333.333333333343</v>
      </c>
      <c r="C52" s="29">
        <v>-40000</v>
      </c>
      <c r="D52" s="29">
        <f t="shared" ref="D52" si="35">-I50*O$4*(A52-A50)/360</f>
        <v>-48333.333333333336</v>
      </c>
      <c r="E52" s="38"/>
      <c r="F52" s="39"/>
      <c r="G52" s="47"/>
      <c r="H52" s="24">
        <f t="shared" si="3"/>
        <v>2260853.9101740941</v>
      </c>
      <c r="I52" s="41">
        <f t="shared" si="4"/>
        <v>2280000</v>
      </c>
      <c r="J52" s="29">
        <f t="shared" si="5"/>
        <v>0</v>
      </c>
      <c r="K52" s="42">
        <f t="shared" si="6"/>
        <v>-19146.089825905819</v>
      </c>
      <c r="L52" s="33">
        <f t="shared" si="2"/>
        <v>0</v>
      </c>
      <c r="M52" s="196">
        <f t="shared" si="21"/>
        <v>29448.180237163404</v>
      </c>
      <c r="N52" s="29">
        <f t="shared" si="8"/>
        <v>29000</v>
      </c>
      <c r="O52" s="30">
        <f t="shared" si="0"/>
        <v>448.18023716340394</v>
      </c>
      <c r="P52" s="43"/>
      <c r="Q52" s="44"/>
      <c r="R52" s="33"/>
      <c r="V52" s="45"/>
      <c r="W52" s="7"/>
      <c r="X52" s="7"/>
      <c r="Y52" s="46"/>
      <c r="Z52" s="7"/>
      <c r="AA52" s="7"/>
      <c r="AC52" s="7"/>
    </row>
    <row r="53" spans="1:29">
      <c r="A53" s="18">
        <v>44104</v>
      </c>
      <c r="B53" s="37">
        <f t="shared" si="1"/>
        <v>0</v>
      </c>
      <c r="C53" s="29"/>
      <c r="D53" s="29">
        <v>0</v>
      </c>
      <c r="E53" s="38"/>
      <c r="F53" s="39"/>
      <c r="G53" s="47"/>
      <c r="H53" s="24">
        <f t="shared" si="3"/>
        <v>2279947.4251098526</v>
      </c>
      <c r="I53" s="41">
        <f t="shared" si="4"/>
        <v>2280000</v>
      </c>
      <c r="J53" s="29">
        <f t="shared" si="5"/>
        <v>19000</v>
      </c>
      <c r="K53" s="42">
        <f t="shared" si="6"/>
        <v>-19052.574890147298</v>
      </c>
      <c r="L53" s="33">
        <f t="shared" si="2"/>
        <v>0</v>
      </c>
      <c r="M53" s="196">
        <f t="shared" si="22"/>
        <v>19093.514935758521</v>
      </c>
      <c r="N53" s="29">
        <f t="shared" si="10"/>
        <v>19000</v>
      </c>
      <c r="O53" s="30">
        <f t="shared" si="0"/>
        <v>93.51493575852146</v>
      </c>
      <c r="P53" s="43"/>
      <c r="Q53" s="44"/>
      <c r="R53" s="33"/>
      <c r="V53" s="45"/>
      <c r="W53" s="7"/>
      <c r="X53" s="7"/>
      <c r="Y53" s="46"/>
      <c r="Z53" s="7">
        <f t="shared" si="23"/>
        <v>48541.695172921929</v>
      </c>
      <c r="AA53" s="7"/>
      <c r="AC53" s="7"/>
    </row>
    <row r="54" spans="1:29">
      <c r="A54" s="18">
        <v>44124</v>
      </c>
      <c r="B54" s="37">
        <f t="shared" si="1"/>
        <v>-89083.333333333343</v>
      </c>
      <c r="C54" s="29">
        <v>-40000</v>
      </c>
      <c r="D54" s="29">
        <f t="shared" ref="D54" si="36">-I52*O$4*(A54-A52)/360</f>
        <v>-49083.333333333336</v>
      </c>
      <c r="E54" s="38"/>
      <c r="F54" s="39"/>
      <c r="G54" s="47"/>
      <c r="H54" s="24">
        <f t="shared" si="3"/>
        <v>2221425.8097918294</v>
      </c>
      <c r="I54" s="41">
        <f t="shared" si="4"/>
        <v>2240000</v>
      </c>
      <c r="J54" s="29">
        <f t="shared" si="5"/>
        <v>0</v>
      </c>
      <c r="K54" s="42">
        <f t="shared" si="6"/>
        <v>-18574.190208170767</v>
      </c>
      <c r="L54" s="33">
        <f t="shared" si="2"/>
        <v>0</v>
      </c>
      <c r="M54" s="196">
        <f t="shared" si="21"/>
        <v>30561.718015309863</v>
      </c>
      <c r="N54" s="29">
        <f t="shared" si="8"/>
        <v>30083.333333333332</v>
      </c>
      <c r="O54" s="30">
        <f t="shared" si="0"/>
        <v>478.38468197653128</v>
      </c>
      <c r="P54" s="43"/>
      <c r="Q54" s="44"/>
      <c r="R54" s="33"/>
      <c r="V54" s="45"/>
      <c r="W54" s="7"/>
      <c r="X54" s="7"/>
      <c r="Y54" s="46"/>
      <c r="Z54" s="7"/>
      <c r="AA54" s="7"/>
      <c r="AC54" s="7"/>
    </row>
    <row r="55" spans="1:29">
      <c r="A55" s="18">
        <v>44135</v>
      </c>
      <c r="B55" s="37">
        <f t="shared" si="1"/>
        <v>0</v>
      </c>
      <c r="C55" s="29"/>
      <c r="D55" s="29">
        <v>0</v>
      </c>
      <c r="E55" s="38"/>
      <c r="F55" s="39"/>
      <c r="G55" s="47"/>
      <c r="H55" s="24">
        <f t="shared" si="3"/>
        <v>2240186.3438922716</v>
      </c>
      <c r="I55" s="41">
        <f t="shared" si="4"/>
        <v>2240000</v>
      </c>
      <c r="J55" s="29">
        <f t="shared" si="5"/>
        <v>18666.666666666668</v>
      </c>
      <c r="K55" s="42">
        <f t="shared" si="6"/>
        <v>-18480.322774394976</v>
      </c>
      <c r="L55" s="33">
        <f t="shared" si="2"/>
        <v>0</v>
      </c>
      <c r="M55" s="196">
        <f t="shared" si="22"/>
        <v>18760.534100442459</v>
      </c>
      <c r="N55" s="29">
        <f t="shared" si="10"/>
        <v>18666.666666666668</v>
      </c>
      <c r="O55" s="30">
        <f t="shared" si="0"/>
        <v>93.867433775791142</v>
      </c>
      <c r="P55" s="43"/>
      <c r="Q55" s="44"/>
      <c r="R55" s="33"/>
      <c r="V55" s="45"/>
      <c r="W55" s="7"/>
      <c r="X55" s="7"/>
      <c r="Y55" s="46"/>
      <c r="Z55" s="7">
        <f t="shared" si="23"/>
        <v>49322.252115752322</v>
      </c>
      <c r="AA55" s="7"/>
      <c r="AC55" s="7"/>
    </row>
    <row r="56" spans="1:29">
      <c r="A56" s="18">
        <v>44155</v>
      </c>
      <c r="B56" s="37">
        <f t="shared" si="1"/>
        <v>-88222.222222222219</v>
      </c>
      <c r="C56" s="29">
        <v>-40000</v>
      </c>
      <c r="D56" s="29">
        <f t="shared" ref="D56" si="37">-I54*O$4*(A56-A54)/360</f>
        <v>-48222.222222222219</v>
      </c>
      <c r="E56" s="38"/>
      <c r="F56" s="39"/>
      <c r="G56" s="47"/>
      <c r="H56" s="24">
        <f t="shared" si="3"/>
        <v>2181992.8594338093</v>
      </c>
      <c r="I56" s="41">
        <f t="shared" si="4"/>
        <v>2200000</v>
      </c>
      <c r="J56" s="29">
        <f t="shared" si="5"/>
        <v>0</v>
      </c>
      <c r="K56" s="42">
        <f t="shared" si="6"/>
        <v>-18007.140566190541</v>
      </c>
      <c r="L56" s="33">
        <f t="shared" si="2"/>
        <v>0</v>
      </c>
      <c r="M56" s="196">
        <f t="shared" si="21"/>
        <v>30028.737763759989</v>
      </c>
      <c r="N56" s="29">
        <f t="shared" si="8"/>
        <v>29555.555555555555</v>
      </c>
      <c r="O56" s="30">
        <f t="shared" si="0"/>
        <v>473.18220820443457</v>
      </c>
      <c r="P56" s="43"/>
      <c r="Q56" s="44"/>
      <c r="R56" s="33"/>
      <c r="V56" s="45"/>
      <c r="W56" s="7"/>
      <c r="X56" s="7"/>
      <c r="Y56" s="46"/>
      <c r="Z56" s="7"/>
      <c r="AA56" s="7"/>
      <c r="AC56" s="7"/>
    </row>
    <row r="57" spans="1:29">
      <c r="A57" s="18">
        <v>44165</v>
      </c>
      <c r="B57" s="37">
        <f t="shared" si="1"/>
        <v>0</v>
      </c>
      <c r="C57" s="29"/>
      <c r="D57" s="29">
        <v>0</v>
      </c>
      <c r="E57" s="38"/>
      <c r="F57" s="39"/>
      <c r="G57" s="47"/>
      <c r="H57" s="24">
        <f t="shared" si="3"/>
        <v>2198878.819741738</v>
      </c>
      <c r="I57" s="41">
        <f t="shared" si="4"/>
        <v>2200000</v>
      </c>
      <c r="J57" s="29">
        <f t="shared" si="5"/>
        <v>16805.555555555555</v>
      </c>
      <c r="K57" s="42">
        <f t="shared" si="6"/>
        <v>-17926.735813817373</v>
      </c>
      <c r="L57" s="33">
        <f t="shared" si="2"/>
        <v>0</v>
      </c>
      <c r="M57" s="196">
        <f t="shared" si="22"/>
        <v>16885.960307928723</v>
      </c>
      <c r="N57" s="29">
        <f t="shared" si="10"/>
        <v>16805.555555555555</v>
      </c>
      <c r="O57" s="30">
        <f t="shared" si="0"/>
        <v>80.404752373167867</v>
      </c>
      <c r="P57" s="43"/>
      <c r="Q57" s="44"/>
      <c r="R57" s="33"/>
      <c r="V57" s="45"/>
      <c r="W57" s="7"/>
      <c r="X57" s="7"/>
      <c r="Y57" s="46"/>
      <c r="Z57" s="7">
        <f t="shared" si="23"/>
        <v>46914.698071688712</v>
      </c>
      <c r="AA57" s="7"/>
      <c r="AC57" s="7"/>
    </row>
    <row r="58" spans="1:29">
      <c r="A58" s="18">
        <v>44184</v>
      </c>
      <c r="B58" s="37">
        <f t="shared" si="1"/>
        <v>-84305.555555555562</v>
      </c>
      <c r="C58" s="29">
        <v>-40000</v>
      </c>
      <c r="D58" s="29">
        <f t="shared" ref="D58" si="38">-I56*O$4*(A58-A56)/360</f>
        <v>-44305.555555555555</v>
      </c>
      <c r="E58" s="38"/>
      <c r="F58" s="39"/>
      <c r="G58" s="47"/>
      <c r="H58" s="24">
        <f t="shared" si="3"/>
        <v>2142487.1708960822</v>
      </c>
      <c r="I58" s="41">
        <f t="shared" si="4"/>
        <v>2160000</v>
      </c>
      <c r="J58" s="29">
        <f t="shared" si="5"/>
        <v>0</v>
      </c>
      <c r="K58" s="42">
        <f t="shared" si="6"/>
        <v>-17512.829103917862</v>
      </c>
      <c r="L58" s="33">
        <f t="shared" si="2"/>
        <v>0</v>
      </c>
      <c r="M58" s="196">
        <f t="shared" si="21"/>
        <v>27913.906709899511</v>
      </c>
      <c r="N58" s="29">
        <f t="shared" si="8"/>
        <v>27500</v>
      </c>
      <c r="O58" s="30">
        <f t="shared" si="0"/>
        <v>413.90670989951104</v>
      </c>
      <c r="P58" s="43"/>
      <c r="Q58" s="44"/>
      <c r="R58" s="33"/>
      <c r="V58" s="45"/>
      <c r="W58" s="7"/>
      <c r="X58" s="7"/>
      <c r="Y58" s="46"/>
      <c r="Z58" s="7"/>
      <c r="AA58" s="7"/>
      <c r="AC58" s="7"/>
    </row>
    <row r="59" spans="1:29">
      <c r="A59" s="18">
        <v>44196</v>
      </c>
      <c r="B59" s="37">
        <f t="shared" si="1"/>
        <v>0</v>
      </c>
      <c r="C59" s="29"/>
      <c r="D59" s="29">
        <v>0</v>
      </c>
      <c r="E59" s="38"/>
      <c r="F59" s="39"/>
      <c r="G59" s="47"/>
      <c r="H59" s="24">
        <f t="shared" si="3"/>
        <v>2162095.7499705222</v>
      </c>
      <c r="I59" s="41">
        <f t="shared" si="4"/>
        <v>2160000</v>
      </c>
      <c r="J59" s="29">
        <f t="shared" si="5"/>
        <v>19500</v>
      </c>
      <c r="K59" s="42">
        <f t="shared" si="6"/>
        <v>-17404.250029477906</v>
      </c>
      <c r="L59" s="33">
        <f t="shared" si="2"/>
        <v>0</v>
      </c>
      <c r="M59" s="196">
        <f t="shared" si="22"/>
        <v>19608.579074439956</v>
      </c>
      <c r="N59" s="29">
        <f t="shared" si="10"/>
        <v>19500</v>
      </c>
      <c r="O59" s="30">
        <f t="shared" si="0"/>
        <v>108.57907443995646</v>
      </c>
      <c r="P59" s="43"/>
      <c r="Q59" s="44"/>
      <c r="R59" s="33"/>
      <c r="V59" s="45"/>
      <c r="W59" s="7"/>
      <c r="X59" s="7"/>
      <c r="Y59" s="46"/>
      <c r="Z59" s="7">
        <f t="shared" si="23"/>
        <v>47522.485784339471</v>
      </c>
      <c r="AA59" s="7"/>
      <c r="AC59" s="7"/>
    </row>
    <row r="60" spans="1:29">
      <c r="A60" s="18">
        <v>44216</v>
      </c>
      <c r="B60" s="37">
        <f t="shared" si="1"/>
        <v>-88000</v>
      </c>
      <c r="C60" s="29">
        <v>-40000</v>
      </c>
      <c r="D60" s="29">
        <f t="shared" ref="D60" si="39">-I58*O$4*(A60-A58)/360</f>
        <v>-48000</v>
      </c>
      <c r="E60" s="38"/>
      <c r="F60" s="39"/>
      <c r="G60" s="47"/>
      <c r="H60" s="24">
        <f t="shared" si="3"/>
        <v>2103077.7167935139</v>
      </c>
      <c r="I60" s="41">
        <f t="shared" si="4"/>
        <v>2120000</v>
      </c>
      <c r="J60" s="29">
        <f t="shared" si="5"/>
        <v>0</v>
      </c>
      <c r="K60" s="42">
        <f t="shared" si="6"/>
        <v>-16922.283206486249</v>
      </c>
      <c r="L60" s="33">
        <f t="shared" si="2"/>
        <v>0</v>
      </c>
      <c r="M60" s="196">
        <f t="shared" si="21"/>
        <v>28981.966822991657</v>
      </c>
      <c r="N60" s="29">
        <f t="shared" si="8"/>
        <v>28500</v>
      </c>
      <c r="O60" s="30">
        <f t="shared" si="0"/>
        <v>481.96682299165695</v>
      </c>
      <c r="P60" s="43"/>
      <c r="Q60" s="44"/>
      <c r="R60" s="33"/>
      <c r="V60" s="45"/>
      <c r="W60" s="7"/>
      <c r="X60" s="7"/>
      <c r="Y60" s="46"/>
      <c r="Z60" s="7"/>
      <c r="AA60" s="7"/>
      <c r="AC60" s="7"/>
    </row>
    <row r="61" spans="1:29">
      <c r="A61" s="18">
        <v>44227</v>
      </c>
      <c r="B61" s="37">
        <f t="shared" si="1"/>
        <v>0</v>
      </c>
      <c r="C61" s="29"/>
      <c r="D61" s="29">
        <v>0</v>
      </c>
      <c r="E61" s="38"/>
      <c r="F61" s="39"/>
      <c r="G61" s="47"/>
      <c r="H61" s="24">
        <f t="shared" si="3"/>
        <v>2120838.769648789</v>
      </c>
      <c r="I61" s="41">
        <f t="shared" si="4"/>
        <v>2120000</v>
      </c>
      <c r="J61" s="29">
        <f t="shared" si="5"/>
        <v>17666.666666666668</v>
      </c>
      <c r="K61" s="42">
        <f t="shared" si="6"/>
        <v>-16827.897017877633</v>
      </c>
      <c r="L61" s="33">
        <f t="shared" si="2"/>
        <v>0</v>
      </c>
      <c r="M61" s="196">
        <f t="shared" si="22"/>
        <v>17761.052855275284</v>
      </c>
      <c r="N61" s="29">
        <f t="shared" si="10"/>
        <v>17666.666666666668</v>
      </c>
      <c r="O61" s="30">
        <f t="shared" si="0"/>
        <v>94.386188608616067</v>
      </c>
      <c r="P61" s="43"/>
      <c r="Q61" s="44"/>
      <c r="R61" s="33"/>
      <c r="V61" s="45"/>
      <c r="W61" s="7"/>
      <c r="X61" s="7"/>
      <c r="Y61" s="46"/>
      <c r="Z61" s="7">
        <f t="shared" si="23"/>
        <v>46743.019678266937</v>
      </c>
      <c r="AA61" s="7"/>
      <c r="AC61" s="7"/>
    </row>
    <row r="62" spans="1:29">
      <c r="A62" s="18">
        <v>44247</v>
      </c>
      <c r="B62" s="37">
        <f t="shared" si="1"/>
        <v>-85638.888888888891</v>
      </c>
      <c r="C62" s="29">
        <v>-40000</v>
      </c>
      <c r="D62" s="29">
        <f t="shared" ref="D62" si="40">-I60*O$4*(A62-A60)/360</f>
        <v>-45638.888888888891</v>
      </c>
      <c r="E62" s="38"/>
      <c r="F62" s="39"/>
      <c r="G62" s="47"/>
      <c r="H62" s="24">
        <f t="shared" si="3"/>
        <v>2063628.8154450147</v>
      </c>
      <c r="I62" s="41">
        <f t="shared" si="4"/>
        <v>2080000</v>
      </c>
      <c r="J62" s="29">
        <f t="shared" si="5"/>
        <v>0</v>
      </c>
      <c r="K62" s="42">
        <f t="shared" si="6"/>
        <v>-16371.184554985346</v>
      </c>
      <c r="L62" s="33">
        <f t="shared" si="2"/>
        <v>0</v>
      </c>
      <c r="M62" s="196">
        <f t="shared" si="21"/>
        <v>28428.934685114509</v>
      </c>
      <c r="N62" s="29">
        <f t="shared" si="8"/>
        <v>27972.222222222223</v>
      </c>
      <c r="O62" s="30">
        <f t="shared" si="0"/>
        <v>456.71246289228657</v>
      </c>
      <c r="P62" s="43"/>
      <c r="Q62" s="44"/>
      <c r="R62" s="33"/>
      <c r="V62" s="45"/>
      <c r="W62" s="7"/>
      <c r="X62" s="7"/>
      <c r="Y62" s="46"/>
      <c r="Z62" s="7"/>
      <c r="AA62" s="7"/>
      <c r="AC62" s="7"/>
    </row>
    <row r="63" spans="1:29">
      <c r="A63" s="18">
        <v>44255</v>
      </c>
      <c r="B63" s="37">
        <f t="shared" si="1"/>
        <v>0</v>
      </c>
      <c r="C63" s="29"/>
      <c r="D63" s="29">
        <v>0</v>
      </c>
      <c r="E63" s="38"/>
      <c r="F63" s="39"/>
      <c r="G63" s="47"/>
      <c r="H63" s="24">
        <f t="shared" si="3"/>
        <v>2076685.9876044879</v>
      </c>
      <c r="I63" s="41">
        <f t="shared" si="4"/>
        <v>2080000</v>
      </c>
      <c r="J63" s="29">
        <f t="shared" si="5"/>
        <v>13000</v>
      </c>
      <c r="K63" s="42">
        <f t="shared" si="6"/>
        <v>-16314.012395512033</v>
      </c>
      <c r="L63" s="33">
        <f t="shared" si="2"/>
        <v>0</v>
      </c>
      <c r="M63" s="196">
        <f t="shared" si="22"/>
        <v>13057.172159473314</v>
      </c>
      <c r="N63" s="29">
        <f t="shared" si="10"/>
        <v>13000</v>
      </c>
      <c r="O63" s="30">
        <f t="shared" si="0"/>
        <v>57.172159473313513</v>
      </c>
      <c r="P63" s="43"/>
      <c r="Q63" s="44"/>
      <c r="R63" s="33"/>
      <c r="V63" s="45"/>
      <c r="W63" s="7"/>
      <c r="X63" s="7"/>
      <c r="Y63" s="46"/>
      <c r="Z63" s="7">
        <f t="shared" si="23"/>
        <v>41486.106844587819</v>
      </c>
      <c r="AA63" s="7"/>
      <c r="AC63" s="7"/>
    </row>
    <row r="64" spans="1:29">
      <c r="A64" s="18">
        <v>44275</v>
      </c>
      <c r="B64" s="37">
        <f t="shared" si="1"/>
        <v>-80444.444444444438</v>
      </c>
      <c r="C64" s="29">
        <v>-40000</v>
      </c>
      <c r="D64" s="29">
        <f t="shared" ref="D64" si="41">-I62*O$4*(A64-A62)/360</f>
        <v>-40444.444444444445</v>
      </c>
      <c r="E64" s="38"/>
      <c r="F64" s="39"/>
      <c r="G64" s="47"/>
      <c r="H64" s="24">
        <f t="shared" si="3"/>
        <v>2024078.6287263723</v>
      </c>
      <c r="I64" s="41">
        <f t="shared" si="4"/>
        <v>2040000</v>
      </c>
      <c r="J64" s="29">
        <f t="shared" si="5"/>
        <v>0</v>
      </c>
      <c r="K64" s="42">
        <f t="shared" si="6"/>
        <v>-15921.371273627832</v>
      </c>
      <c r="L64" s="33">
        <f t="shared" si="2"/>
        <v>0</v>
      </c>
      <c r="M64" s="196">
        <f t="shared" si="21"/>
        <v>27837.085566328646</v>
      </c>
      <c r="N64" s="29">
        <f t="shared" si="8"/>
        <v>27444.444444444445</v>
      </c>
      <c r="O64" s="30">
        <f t="shared" si="0"/>
        <v>392.6411218842004</v>
      </c>
      <c r="P64" s="43"/>
      <c r="Q64" s="44"/>
      <c r="R64" s="33"/>
      <c r="V64" s="45"/>
      <c r="W64" s="7"/>
      <c r="X64" s="7"/>
      <c r="Y64" s="46"/>
      <c r="Z64" s="7"/>
      <c r="AA64" s="7"/>
      <c r="AC64" s="7"/>
    </row>
    <row r="65" spans="1:29">
      <c r="A65" s="18">
        <v>44286</v>
      </c>
      <c r="B65" s="37">
        <f t="shared" si="1"/>
        <v>0</v>
      </c>
      <c r="C65" s="29"/>
      <c r="D65" s="29">
        <v>0</v>
      </c>
      <c r="E65" s="38"/>
      <c r="F65" s="39"/>
      <c r="G65" s="47"/>
      <c r="H65" s="24">
        <f t="shared" si="3"/>
        <v>2041172.5131895929</v>
      </c>
      <c r="I65" s="41">
        <f t="shared" si="4"/>
        <v>2040000</v>
      </c>
      <c r="J65" s="29">
        <f t="shared" si="5"/>
        <v>17000</v>
      </c>
      <c r="K65" s="42">
        <f t="shared" si="6"/>
        <v>-15827.486810407176</v>
      </c>
      <c r="L65" s="33">
        <f t="shared" si="2"/>
        <v>0</v>
      </c>
      <c r="M65" s="196">
        <f t="shared" si="22"/>
        <v>17093.884463220656</v>
      </c>
      <c r="N65" s="29">
        <f t="shared" si="10"/>
        <v>17000</v>
      </c>
      <c r="O65" s="30">
        <f t="shared" si="0"/>
        <v>93.884463220656471</v>
      </c>
      <c r="P65" s="43"/>
      <c r="Q65" s="44"/>
      <c r="R65" s="33"/>
      <c r="V65" s="45"/>
      <c r="W65" s="7"/>
      <c r="X65" s="7"/>
      <c r="Y65" s="46"/>
      <c r="Z65" s="7">
        <f t="shared" si="23"/>
        <v>44930.970029549302</v>
      </c>
      <c r="AA65" s="7"/>
      <c r="AC65" s="7"/>
    </row>
    <row r="66" spans="1:29">
      <c r="A66" s="18">
        <v>44306</v>
      </c>
      <c r="B66" s="37">
        <f t="shared" si="1"/>
        <v>-83916.666666666657</v>
      </c>
      <c r="C66" s="29">
        <v>-40000</v>
      </c>
      <c r="D66" s="29">
        <f t="shared" ref="D66" si="42">-I64*O$4*(A66-A64)/360</f>
        <v>-43916.666666666664</v>
      </c>
      <c r="E66" s="38"/>
      <c r="F66" s="39"/>
      <c r="G66" s="47"/>
      <c r="H66" s="24">
        <f t="shared" si="3"/>
        <v>1984616.8891863094</v>
      </c>
      <c r="I66" s="41">
        <f t="shared" si="4"/>
        <v>2000000</v>
      </c>
      <c r="J66" s="29">
        <f t="shared" si="5"/>
        <v>0</v>
      </c>
      <c r="K66" s="42">
        <f t="shared" si="6"/>
        <v>-15383.110813690491</v>
      </c>
      <c r="L66" s="33">
        <f t="shared" si="2"/>
        <v>0</v>
      </c>
      <c r="M66" s="196">
        <f t="shared" si="21"/>
        <v>27361.042663383352</v>
      </c>
      <c r="N66" s="29">
        <f t="shared" si="8"/>
        <v>26916.666666666668</v>
      </c>
      <c r="O66" s="30">
        <f t="shared" si="0"/>
        <v>444.37599671668431</v>
      </c>
      <c r="P66" s="43"/>
      <c r="Q66" s="44"/>
      <c r="R66" s="33"/>
      <c r="V66" s="45"/>
      <c r="W66" s="7"/>
      <c r="X66" s="7"/>
      <c r="Y66" s="46"/>
      <c r="Z66" s="7"/>
      <c r="AA66" s="7"/>
      <c r="AC66" s="7"/>
    </row>
    <row r="67" spans="1:29">
      <c r="A67" s="18">
        <v>44316</v>
      </c>
      <c r="B67" s="37">
        <f t="shared" si="1"/>
        <v>0</v>
      </c>
      <c r="C67" s="29"/>
      <c r="D67" s="29">
        <v>0</v>
      </c>
      <c r="E67" s="38"/>
      <c r="F67" s="39"/>
      <c r="G67" s="47"/>
      <c r="H67" s="24">
        <f t="shared" si="3"/>
        <v>1999975.4004996512</v>
      </c>
      <c r="I67" s="41">
        <f t="shared" si="4"/>
        <v>2000000</v>
      </c>
      <c r="J67" s="29">
        <f t="shared" si="5"/>
        <v>15277.777777777777</v>
      </c>
      <c r="K67" s="42">
        <f t="shared" si="6"/>
        <v>-15302.377278126554</v>
      </c>
      <c r="L67" s="33">
        <f t="shared" si="2"/>
        <v>0</v>
      </c>
      <c r="M67" s="196">
        <f t="shared" si="22"/>
        <v>15358.511313341714</v>
      </c>
      <c r="N67" s="29">
        <f t="shared" si="10"/>
        <v>15277.777777777777</v>
      </c>
      <c r="O67" s="30">
        <f t="shared" si="0"/>
        <v>80.733535563937039</v>
      </c>
      <c r="P67" s="43"/>
      <c r="Q67" s="44"/>
      <c r="R67" s="33"/>
      <c r="V67" s="45"/>
      <c r="W67" s="7"/>
      <c r="X67" s="7"/>
      <c r="Y67" s="46"/>
      <c r="Z67" s="7">
        <f t="shared" si="23"/>
        <v>42719.553976725067</v>
      </c>
      <c r="AA67" s="7"/>
      <c r="AC67" s="7"/>
    </row>
    <row r="68" spans="1:29">
      <c r="A68" s="18">
        <v>44336</v>
      </c>
      <c r="B68" s="37">
        <f t="shared" si="1"/>
        <v>-81666.666666666657</v>
      </c>
      <c r="C68" s="29">
        <v>-40000</v>
      </c>
      <c r="D68" s="29">
        <f t="shared" ref="D68" si="43">-I66*O$4*(A68-A66)/360</f>
        <v>-41666.666666666664</v>
      </c>
      <c r="E68" s="38"/>
      <c r="F68" s="39"/>
      <c r="G68" s="47"/>
      <c r="H68" s="24">
        <f t="shared" si="3"/>
        <v>1945117.5468584348</v>
      </c>
      <c r="I68" s="41">
        <f t="shared" si="4"/>
        <v>1960000</v>
      </c>
      <c r="J68" s="29">
        <f t="shared" si="5"/>
        <v>0</v>
      </c>
      <c r="K68" s="42">
        <f t="shared" si="6"/>
        <v>-14882.453141565205</v>
      </c>
      <c r="L68" s="33">
        <f t="shared" si="2"/>
        <v>0</v>
      </c>
      <c r="M68" s="196">
        <f t="shared" si="21"/>
        <v>26808.813025450239</v>
      </c>
      <c r="N68" s="29">
        <f t="shared" si="8"/>
        <v>26388.888888888891</v>
      </c>
      <c r="O68" s="30">
        <f t="shared" si="0"/>
        <v>419.92413656134886</v>
      </c>
      <c r="P68" s="43"/>
      <c r="Q68" s="44"/>
      <c r="R68" s="33"/>
      <c r="V68" s="45"/>
      <c r="W68" s="7"/>
      <c r="X68" s="7"/>
      <c r="Y68" s="46"/>
      <c r="Z68" s="7"/>
      <c r="AA68" s="7"/>
      <c r="AC68" s="7"/>
    </row>
    <row r="69" spans="1:29">
      <c r="A69" s="18">
        <v>44347</v>
      </c>
      <c r="B69" s="37">
        <f t="shared" si="1"/>
        <v>0</v>
      </c>
      <c r="C69" s="29"/>
      <c r="D69" s="29">
        <v>0</v>
      </c>
      <c r="E69" s="38"/>
      <c r="F69" s="39"/>
      <c r="G69" s="47"/>
      <c r="H69" s="24">
        <f t="shared" si="3"/>
        <v>1961544.583902101</v>
      </c>
      <c r="I69" s="41">
        <f t="shared" si="4"/>
        <v>1960000</v>
      </c>
      <c r="J69" s="29">
        <f t="shared" si="5"/>
        <v>16333.333333333334</v>
      </c>
      <c r="K69" s="42">
        <f t="shared" si="6"/>
        <v>-14788.749431232302</v>
      </c>
      <c r="L69" s="33">
        <f t="shared" si="2"/>
        <v>0</v>
      </c>
      <c r="M69" s="196">
        <f t="shared" si="22"/>
        <v>16427.037043666238</v>
      </c>
      <c r="N69" s="29">
        <f t="shared" si="10"/>
        <v>16333.333333333334</v>
      </c>
      <c r="O69" s="30">
        <f t="shared" si="0"/>
        <v>93.703710332903938</v>
      </c>
      <c r="P69" s="43"/>
      <c r="Q69" s="44"/>
      <c r="R69" s="33"/>
      <c r="V69" s="45"/>
      <c r="W69" s="7"/>
      <c r="X69" s="7"/>
      <c r="Y69" s="46"/>
      <c r="Z69" s="7">
        <f t="shared" si="23"/>
        <v>43235.850069116481</v>
      </c>
      <c r="AA69" s="7"/>
      <c r="AC69" s="7"/>
    </row>
    <row r="70" spans="1:29">
      <c r="A70" s="18">
        <v>44367</v>
      </c>
      <c r="B70" s="37">
        <f t="shared" si="1"/>
        <v>-82194.444444444438</v>
      </c>
      <c r="C70" s="29">
        <v>-40000</v>
      </c>
      <c r="D70" s="29">
        <f t="shared" ref="D70" si="44">-I68*O$4*(A70-A68)/360</f>
        <v>-42194.444444444445</v>
      </c>
      <c r="E70" s="38"/>
      <c r="F70" s="39"/>
      <c r="G70" s="47"/>
      <c r="H70" s="24">
        <f t="shared" si="3"/>
        <v>1905643.8038586178</v>
      </c>
      <c r="I70" s="41">
        <f t="shared" si="4"/>
        <v>1920000</v>
      </c>
      <c r="J70" s="29">
        <f t="shared" si="5"/>
        <v>0</v>
      </c>
      <c r="K70" s="42">
        <f t="shared" si="6"/>
        <v>-14356.196141382099</v>
      </c>
      <c r="L70" s="33">
        <f t="shared" si="2"/>
        <v>0</v>
      </c>
      <c r="M70" s="196">
        <f t="shared" si="21"/>
        <v>26293.664400961312</v>
      </c>
      <c r="N70" s="29">
        <f t="shared" si="8"/>
        <v>25861.111111111109</v>
      </c>
      <c r="O70" s="30">
        <f t="shared" si="0"/>
        <v>432.55328985020242</v>
      </c>
      <c r="P70" s="43"/>
      <c r="Q70" s="44"/>
      <c r="R70" s="33"/>
      <c r="V70" s="45"/>
      <c r="W70" s="7"/>
      <c r="X70" s="7"/>
      <c r="Y70" s="46"/>
      <c r="Z70" s="7"/>
      <c r="AA70" s="7"/>
      <c r="AC70" s="7"/>
    </row>
    <row r="71" spans="1:29">
      <c r="A71" s="18">
        <v>44377</v>
      </c>
      <c r="B71" s="37">
        <f t="shared" si="1"/>
        <v>0</v>
      </c>
      <c r="C71" s="29"/>
      <c r="D71" s="29">
        <v>0</v>
      </c>
      <c r="E71" s="38"/>
      <c r="F71" s="39"/>
      <c r="G71" s="47"/>
      <c r="H71" s="24">
        <f t="shared" si="3"/>
        <v>1920391.1599252904</v>
      </c>
      <c r="I71" s="41">
        <f t="shared" si="4"/>
        <v>1920000</v>
      </c>
      <c r="J71" s="29">
        <f t="shared" si="5"/>
        <v>14666.666666666666</v>
      </c>
      <c r="K71" s="42">
        <f t="shared" si="6"/>
        <v>-14275.506741376417</v>
      </c>
      <c r="L71" s="33">
        <f t="shared" si="2"/>
        <v>0</v>
      </c>
      <c r="M71" s="196">
        <f t="shared" si="22"/>
        <v>14747.356066672348</v>
      </c>
      <c r="N71" s="29">
        <f t="shared" si="10"/>
        <v>14666.666666666666</v>
      </c>
      <c r="O71" s="30">
        <f t="shared" si="0"/>
        <v>80.689400005681819</v>
      </c>
      <c r="P71" s="43"/>
      <c r="Q71" s="44"/>
      <c r="R71" s="33"/>
      <c r="V71" s="45"/>
      <c r="W71" s="7"/>
      <c r="X71" s="7"/>
      <c r="Y71" s="46"/>
      <c r="Z71" s="7">
        <f t="shared" si="23"/>
        <v>41041.020467633658</v>
      </c>
      <c r="AA71" s="7"/>
      <c r="AC71" s="7"/>
    </row>
    <row r="72" spans="1:29">
      <c r="A72" s="18">
        <v>44397</v>
      </c>
      <c r="B72" s="37">
        <f t="shared" si="1"/>
        <v>-80000</v>
      </c>
      <c r="C72" s="29">
        <v>-40000</v>
      </c>
      <c r="D72" s="29">
        <f t="shared" ref="D72" si="45">-I70*O$4*(A72-A70)/360</f>
        <v>-40000</v>
      </c>
      <c r="E72" s="38"/>
      <c r="F72" s="39"/>
      <c r="G72" s="47"/>
      <c r="H72" s="24">
        <f t="shared" si="3"/>
        <v>1866133.1803167923</v>
      </c>
      <c r="I72" s="41">
        <f t="shared" si="4"/>
        <v>1880000</v>
      </c>
      <c r="J72" s="29">
        <f t="shared" si="5"/>
        <v>0</v>
      </c>
      <c r="K72" s="42">
        <f t="shared" si="6"/>
        <v>-13866.819683207641</v>
      </c>
      <c r="L72" s="33">
        <f t="shared" si="2"/>
        <v>0</v>
      </c>
      <c r="M72" s="196">
        <f t="shared" si="21"/>
        <v>25742.020391502108</v>
      </c>
      <c r="N72" s="29">
        <f t="shared" si="8"/>
        <v>25333.333333333332</v>
      </c>
      <c r="O72" s="30">
        <f t="shared" si="0"/>
        <v>408.68705816877628</v>
      </c>
      <c r="P72" s="43"/>
      <c r="Q72" s="44"/>
      <c r="R72" s="33"/>
      <c r="V72" s="45"/>
      <c r="W72" s="7"/>
      <c r="X72" s="7"/>
      <c r="Y72" s="46"/>
      <c r="Z72" s="7"/>
      <c r="AA72" s="7"/>
      <c r="AC72" s="7"/>
    </row>
    <row r="73" spans="1:29">
      <c r="A73" s="18">
        <v>44408</v>
      </c>
      <c r="B73" s="37">
        <f t="shared" si="1"/>
        <v>0</v>
      </c>
      <c r="C73" s="29"/>
      <c r="D73" s="29">
        <v>0</v>
      </c>
      <c r="E73" s="38"/>
      <c r="F73" s="39"/>
      <c r="G73" s="47"/>
      <c r="H73" s="24">
        <f t="shared" si="3"/>
        <v>1881893.1732956176</v>
      </c>
      <c r="I73" s="41">
        <f t="shared" si="4"/>
        <v>1880000</v>
      </c>
      <c r="J73" s="29">
        <f t="shared" si="5"/>
        <v>15666.666666666666</v>
      </c>
      <c r="K73" s="42">
        <f t="shared" si="6"/>
        <v>-13773.493371049106</v>
      </c>
      <c r="L73" s="33">
        <f t="shared" si="2"/>
        <v>0</v>
      </c>
      <c r="M73" s="196">
        <f t="shared" si="22"/>
        <v>15759.992978825201</v>
      </c>
      <c r="N73" s="29">
        <f t="shared" si="10"/>
        <v>15666.666666666666</v>
      </c>
      <c r="O73" s="30">
        <f t="shared" si="0"/>
        <v>93.326312158535075</v>
      </c>
      <c r="P73" s="43"/>
      <c r="Q73" s="44"/>
      <c r="R73" s="33"/>
      <c r="V73" s="45"/>
      <c r="W73" s="7"/>
      <c r="X73" s="7"/>
      <c r="Y73" s="46"/>
      <c r="Z73" s="7">
        <f t="shared" si="23"/>
        <v>41502.01337032731</v>
      </c>
      <c r="AA73" s="7"/>
      <c r="AC73" s="7"/>
    </row>
    <row r="74" spans="1:29">
      <c r="A74" s="18">
        <v>44428</v>
      </c>
      <c r="B74" s="37">
        <f t="shared" si="1"/>
        <v>-80472.222222222219</v>
      </c>
      <c r="C74" s="29">
        <v>-40000</v>
      </c>
      <c r="D74" s="29">
        <f t="shared" ref="D74" si="46">-I72*O$4*(A74-A72)/360</f>
        <v>-40472.222222222219</v>
      </c>
      <c r="E74" s="38"/>
      <c r="F74" s="39"/>
      <c r="G74" s="47"/>
      <c r="H74" s="24">
        <f t="shared" si="3"/>
        <v>1826646.922454918</v>
      </c>
      <c r="I74" s="41">
        <f t="shared" si="4"/>
        <v>1840000</v>
      </c>
      <c r="J74" s="29">
        <f t="shared" si="5"/>
        <v>0</v>
      </c>
      <c r="K74" s="42">
        <f t="shared" si="6"/>
        <v>-13353.077545082044</v>
      </c>
      <c r="L74" s="33">
        <f t="shared" si="2"/>
        <v>0</v>
      </c>
      <c r="M74" s="196">
        <f t="shared" si="21"/>
        <v>25225.971381522617</v>
      </c>
      <c r="N74" s="29">
        <f t="shared" si="8"/>
        <v>24805.555555555555</v>
      </c>
      <c r="O74" s="30">
        <f t="shared" si="0"/>
        <v>420.41582596706212</v>
      </c>
      <c r="P74" s="43"/>
      <c r="Q74" s="44"/>
      <c r="R74" s="33"/>
      <c r="V74" s="45"/>
      <c r="W74" s="7"/>
      <c r="X74" s="7"/>
      <c r="Y74" s="46"/>
      <c r="Z74" s="7"/>
      <c r="AA74" s="7"/>
      <c r="AC74" s="7"/>
    </row>
    <row r="75" spans="1:29">
      <c r="A75" s="18">
        <v>44439</v>
      </c>
      <c r="B75" s="37">
        <f t="shared" si="1"/>
        <v>0</v>
      </c>
      <c r="C75" s="29"/>
      <c r="D75" s="29">
        <v>0</v>
      </c>
      <c r="E75" s="38"/>
      <c r="F75" s="39"/>
      <c r="G75" s="47"/>
      <c r="H75" s="24">
        <f t="shared" si="3"/>
        <v>1842073.4434429833</v>
      </c>
      <c r="I75" s="41">
        <f t="shared" si="4"/>
        <v>1840000</v>
      </c>
      <c r="J75" s="29">
        <f t="shared" si="5"/>
        <v>15333.333333333334</v>
      </c>
      <c r="K75" s="42">
        <f t="shared" si="6"/>
        <v>-13259.88989035001</v>
      </c>
      <c r="L75" s="33">
        <f t="shared" si="2"/>
        <v>0</v>
      </c>
      <c r="M75" s="196">
        <f t="shared" si="22"/>
        <v>15426.520988065367</v>
      </c>
      <c r="N75" s="29">
        <f t="shared" si="10"/>
        <v>15333.333333333334</v>
      </c>
      <c r="O75" s="30">
        <f t="shared" si="0"/>
        <v>93.187654732033479</v>
      </c>
      <c r="P75" s="43"/>
      <c r="Q75" s="44"/>
      <c r="R75" s="33"/>
      <c r="V75" s="45"/>
      <c r="W75" s="7"/>
      <c r="X75" s="7"/>
      <c r="Y75" s="46"/>
      <c r="Z75" s="7">
        <f t="shared" si="23"/>
        <v>40652.492369587984</v>
      </c>
      <c r="AA75" s="7"/>
      <c r="AC75" s="7"/>
    </row>
    <row r="76" spans="1:29">
      <c r="A76" s="18">
        <v>44459</v>
      </c>
      <c r="B76" s="37">
        <f t="shared" si="1"/>
        <v>-79611.111111111109</v>
      </c>
      <c r="C76" s="29">
        <v>-40000</v>
      </c>
      <c r="D76" s="29">
        <f t="shared" ref="D76" si="47">-I74*O$4*(A76-A74)/360</f>
        <v>-39611.111111111109</v>
      </c>
      <c r="E76" s="38"/>
      <c r="F76" s="39"/>
      <c r="G76" s="47"/>
      <c r="H76" s="24">
        <f t="shared" si="3"/>
        <v>1787154.5373020298</v>
      </c>
      <c r="I76" s="41">
        <f t="shared" si="4"/>
        <v>1800000</v>
      </c>
      <c r="J76" s="29">
        <f t="shared" si="5"/>
        <v>0</v>
      </c>
      <c r="K76" s="42">
        <f t="shared" si="6"/>
        <v>-12845.462697970286</v>
      </c>
      <c r="L76" s="33">
        <f t="shared" si="2"/>
        <v>0</v>
      </c>
      <c r="M76" s="196">
        <f t="shared" si="21"/>
        <v>24692.204970157502</v>
      </c>
      <c r="N76" s="29">
        <f t="shared" si="8"/>
        <v>24277.777777777777</v>
      </c>
      <c r="O76" s="30">
        <f t="shared" si="0"/>
        <v>414.42719237972415</v>
      </c>
      <c r="P76" s="43"/>
      <c r="Q76" s="44"/>
      <c r="R76" s="33"/>
      <c r="V76" s="45"/>
      <c r="W76" s="7"/>
      <c r="X76" s="7"/>
      <c r="Y76" s="46"/>
      <c r="Z76" s="7"/>
      <c r="AA76" s="7"/>
      <c r="AC76" s="7"/>
    </row>
    <row r="77" spans="1:29">
      <c r="A77" s="18">
        <v>44469</v>
      </c>
      <c r="B77" s="37">
        <f t="shared" si="1"/>
        <v>0</v>
      </c>
      <c r="C77" s="29"/>
      <c r="D77" s="29">
        <v>0</v>
      </c>
      <c r="E77" s="38"/>
      <c r="F77" s="39"/>
      <c r="G77" s="47"/>
      <c r="H77" s="24">
        <f t="shared" si="3"/>
        <v>1800984.931132396</v>
      </c>
      <c r="I77" s="41">
        <f t="shared" si="4"/>
        <v>1800000</v>
      </c>
      <c r="J77" s="29">
        <f t="shared" si="5"/>
        <v>13750</v>
      </c>
      <c r="K77" s="42">
        <f t="shared" si="6"/>
        <v>-12765.06886760393</v>
      </c>
      <c r="L77" s="33">
        <f t="shared" si="2"/>
        <v>0</v>
      </c>
      <c r="M77" s="196">
        <f t="shared" si="22"/>
        <v>13830.393830366356</v>
      </c>
      <c r="N77" s="29">
        <f t="shared" si="10"/>
        <v>13750</v>
      </c>
      <c r="O77" s="30">
        <f t="shared" si="0"/>
        <v>80.393830366356269</v>
      </c>
      <c r="P77" s="43"/>
      <c r="Q77" s="44"/>
      <c r="R77" s="33"/>
      <c r="V77" s="45"/>
      <c r="W77" s="7"/>
      <c r="X77" s="7"/>
      <c r="Y77" s="46"/>
      <c r="Z77" s="7">
        <f t="shared" si="23"/>
        <v>38522.598800523861</v>
      </c>
      <c r="AA77" s="7"/>
      <c r="AC77" s="7"/>
    </row>
    <row r="78" spans="1:29">
      <c r="A78" s="18">
        <v>44489</v>
      </c>
      <c r="B78" s="37">
        <f t="shared" si="1"/>
        <v>-77500</v>
      </c>
      <c r="C78" s="29">
        <v>-40000</v>
      </c>
      <c r="D78" s="29">
        <f t="shared" ref="D78" si="48">-I76*O$4*(A78-A76)/360</f>
        <v>-37500</v>
      </c>
      <c r="E78" s="38"/>
      <c r="F78" s="39"/>
      <c r="G78" s="47"/>
      <c r="H78" s="24">
        <f t="shared" si="3"/>
        <v>1747626.362206158</v>
      </c>
      <c r="I78" s="41">
        <f t="shared" si="4"/>
        <v>1760000</v>
      </c>
      <c r="J78" s="29">
        <f t="shared" si="5"/>
        <v>0</v>
      </c>
      <c r="K78" s="42">
        <f t="shared" si="6"/>
        <v>-12373.637793841981</v>
      </c>
      <c r="L78" s="33">
        <f t="shared" si="2"/>
        <v>0</v>
      </c>
      <c r="M78" s="196">
        <f t="shared" si="21"/>
        <v>24141.431073761949</v>
      </c>
      <c r="N78" s="29">
        <f t="shared" si="8"/>
        <v>23750</v>
      </c>
      <c r="O78" s="30">
        <f t="shared" si="0"/>
        <v>391.43107376194894</v>
      </c>
      <c r="P78" s="43"/>
      <c r="Q78" s="44"/>
      <c r="R78" s="33"/>
      <c r="V78" s="45"/>
      <c r="W78" s="7"/>
      <c r="X78" s="7"/>
      <c r="Y78" s="46"/>
      <c r="Z78" s="7"/>
      <c r="AA78" s="7"/>
      <c r="AC78" s="7"/>
    </row>
    <row r="79" spans="1:29">
      <c r="A79" s="18">
        <v>44500</v>
      </c>
      <c r="B79" s="37">
        <f t="shared" si="1"/>
        <v>0</v>
      </c>
      <c r="C79" s="29"/>
      <c r="D79" s="29">
        <v>0</v>
      </c>
      <c r="E79" s="38"/>
      <c r="F79" s="39"/>
      <c r="G79" s="47"/>
      <c r="H79" s="24">
        <f t="shared" si="3"/>
        <v>1762385.5334638618</v>
      </c>
      <c r="I79" s="41">
        <f t="shared" si="4"/>
        <v>1760000</v>
      </c>
      <c r="J79" s="29">
        <f t="shared" si="5"/>
        <v>14666.666666666666</v>
      </c>
      <c r="K79" s="42">
        <f t="shared" si="6"/>
        <v>-12281.133202804904</v>
      </c>
      <c r="L79" s="33">
        <f t="shared" si="2"/>
        <v>0</v>
      </c>
      <c r="M79" s="196">
        <f t="shared" si="22"/>
        <v>14759.171257703743</v>
      </c>
      <c r="N79" s="29">
        <f t="shared" si="10"/>
        <v>14666.666666666666</v>
      </c>
      <c r="O79" s="30">
        <f t="shared" si="0"/>
        <v>92.504591037077262</v>
      </c>
      <c r="P79" s="43"/>
      <c r="Q79" s="44"/>
      <c r="R79" s="33"/>
      <c r="V79" s="45"/>
      <c r="W79" s="7"/>
      <c r="X79" s="7"/>
      <c r="Y79" s="46"/>
      <c r="Z79" s="7">
        <f t="shared" si="23"/>
        <v>38900.602331465692</v>
      </c>
      <c r="AA79" s="7"/>
      <c r="AC79" s="7"/>
    </row>
    <row r="80" spans="1:29">
      <c r="A80" s="18">
        <v>44520</v>
      </c>
      <c r="B80" s="37">
        <f t="shared" si="1"/>
        <v>-77888.888888888891</v>
      </c>
      <c r="C80" s="29">
        <v>-40000</v>
      </c>
      <c r="D80" s="29">
        <f t="shared" ref="D80" si="49">-I78*O$4*(A80-A78)/360</f>
        <v>-37888.888888888891</v>
      </c>
      <c r="E80" s="38"/>
      <c r="F80" s="39"/>
      <c r="G80" s="47"/>
      <c r="H80" s="24">
        <f t="shared" si="3"/>
        <v>1708120.6672672457</v>
      </c>
      <c r="I80" s="41">
        <f t="shared" si="4"/>
        <v>1720000</v>
      </c>
      <c r="J80" s="29">
        <f t="shared" si="5"/>
        <v>0</v>
      </c>
      <c r="K80" s="42">
        <f t="shared" si="6"/>
        <v>-11879.332732754374</v>
      </c>
      <c r="L80" s="33">
        <f t="shared" si="2"/>
        <v>0</v>
      </c>
      <c r="M80" s="196">
        <f t="shared" si="21"/>
        <v>23624.022692272752</v>
      </c>
      <c r="N80" s="29">
        <f t="shared" si="8"/>
        <v>23222.222222222223</v>
      </c>
      <c r="O80" s="30">
        <f t="shared" si="0"/>
        <v>401.80047005052984</v>
      </c>
      <c r="P80" s="43"/>
      <c r="Q80" s="44"/>
      <c r="R80" s="33"/>
      <c r="V80" s="45"/>
      <c r="W80" s="7"/>
      <c r="X80" s="7"/>
      <c r="Y80" s="46"/>
      <c r="Z80" s="7"/>
      <c r="AA80" s="7"/>
      <c r="AC80" s="7"/>
    </row>
    <row r="81" spans="1:29">
      <c r="A81" s="18">
        <v>44530</v>
      </c>
      <c r="B81" s="37">
        <f t="shared" si="1"/>
        <v>0</v>
      </c>
      <c r="C81" s="29"/>
      <c r="D81" s="29">
        <v>0</v>
      </c>
      <c r="E81" s="38"/>
      <c r="F81" s="39"/>
      <c r="G81" s="47"/>
      <c r="H81" s="24">
        <f t="shared" si="3"/>
        <v>1721339.4354515339</v>
      </c>
      <c r="I81" s="41">
        <f t="shared" si="4"/>
        <v>1720000</v>
      </c>
      <c r="J81" s="29">
        <f t="shared" si="5"/>
        <v>13138.888888888889</v>
      </c>
      <c r="K81" s="42">
        <f t="shared" si="6"/>
        <v>-11799.453437355171</v>
      </c>
      <c r="L81" s="33">
        <f t="shared" si="2"/>
        <v>0</v>
      </c>
      <c r="M81" s="196">
        <f t="shared" si="22"/>
        <v>13218.768184288092</v>
      </c>
      <c r="N81" s="29">
        <f t="shared" si="10"/>
        <v>13138.888888888889</v>
      </c>
      <c r="O81" s="30">
        <f t="shared" si="0"/>
        <v>79.879295399203329</v>
      </c>
      <c r="P81" s="43"/>
      <c r="Q81" s="44"/>
      <c r="R81" s="33"/>
      <c r="V81" s="45"/>
      <c r="W81" s="7"/>
      <c r="X81" s="7"/>
      <c r="Y81" s="46"/>
      <c r="Z81" s="7">
        <f t="shared" si="23"/>
        <v>36842.790876560844</v>
      </c>
      <c r="AA81" s="7"/>
      <c r="AC81" s="7"/>
    </row>
    <row r="82" spans="1:29">
      <c r="A82" s="18">
        <v>44550</v>
      </c>
      <c r="B82" s="37">
        <f t="shared" si="1"/>
        <v>-75833.333333333343</v>
      </c>
      <c r="C82" s="29">
        <v>-40000</v>
      </c>
      <c r="D82" s="29">
        <f t="shared" ref="D82" si="50">-I80*O$4*(A82-A80)/360</f>
        <v>-35833.333333333336</v>
      </c>
      <c r="E82" s="38"/>
      <c r="F82" s="39"/>
      <c r="G82" s="47"/>
      <c r="H82" s="24">
        <f t="shared" si="3"/>
        <v>1668579.9194595665</v>
      </c>
      <c r="I82" s="41">
        <f t="shared" si="4"/>
        <v>1680000</v>
      </c>
      <c r="J82" s="29">
        <f t="shared" si="5"/>
        <v>0</v>
      </c>
      <c r="K82" s="42">
        <f t="shared" si="6"/>
        <v>-11420.080540433626</v>
      </c>
      <c r="L82" s="33">
        <f t="shared" si="2"/>
        <v>0</v>
      </c>
      <c r="M82" s="196">
        <f t="shared" si="21"/>
        <v>23073.81734136599</v>
      </c>
      <c r="N82" s="29">
        <f t="shared" si="8"/>
        <v>22694.444444444445</v>
      </c>
      <c r="O82" s="30">
        <f t="shared" si="0"/>
        <v>379.37289692154445</v>
      </c>
      <c r="P82" s="43"/>
      <c r="Q82" s="44"/>
      <c r="R82" s="33"/>
      <c r="V82" s="45"/>
      <c r="W82" s="7"/>
      <c r="X82" s="7"/>
      <c r="Y82" s="46"/>
      <c r="Z82" s="7"/>
      <c r="AA82" s="7"/>
      <c r="AC82" s="7"/>
    </row>
    <row r="83" spans="1:29">
      <c r="A83" s="18">
        <v>44561</v>
      </c>
      <c r="B83" s="37">
        <f t="shared" si="1"/>
        <v>0</v>
      </c>
      <c r="C83" s="29"/>
      <c r="D83" s="29">
        <v>0</v>
      </c>
      <c r="E83" s="38"/>
      <c r="F83" s="39"/>
      <c r="G83" s="47"/>
      <c r="H83" s="24">
        <f t="shared" si="3"/>
        <v>1682671.5224023035</v>
      </c>
      <c r="I83" s="41">
        <f t="shared" si="4"/>
        <v>1680000</v>
      </c>
      <c r="J83" s="29">
        <f t="shared" si="5"/>
        <v>14000</v>
      </c>
      <c r="K83" s="42">
        <f t="shared" si="6"/>
        <v>-11328.477597696508</v>
      </c>
      <c r="L83" s="33">
        <f t="shared" si="2"/>
        <v>0</v>
      </c>
      <c r="M83" s="196">
        <f t="shared" si="22"/>
        <v>14091.602942737118</v>
      </c>
      <c r="N83" s="29">
        <f t="shared" si="10"/>
        <v>14000</v>
      </c>
      <c r="O83" s="30">
        <f t="shared" si="0"/>
        <v>91.602942737117701</v>
      </c>
      <c r="P83" s="43"/>
      <c r="Q83" s="44"/>
      <c r="R83" s="33"/>
      <c r="V83" s="45"/>
      <c r="W83" s="7"/>
      <c r="X83" s="7"/>
      <c r="Y83" s="46"/>
      <c r="Z83" s="7">
        <f t="shared" si="23"/>
        <v>37165.420284103107</v>
      </c>
      <c r="AA83" s="7"/>
      <c r="AC83" s="7"/>
    </row>
    <row r="84" spans="1:29">
      <c r="A84" s="18">
        <v>44581</v>
      </c>
      <c r="B84" s="37">
        <f t="shared" si="1"/>
        <v>-76166.666666666657</v>
      </c>
      <c r="C84" s="29">
        <v>-40000</v>
      </c>
      <c r="D84" s="29">
        <f t="shared" ref="D84" si="51">-I82*O$4*(A84-A82)/360</f>
        <v>-36166.666666666664</v>
      </c>
      <c r="E84" s="38"/>
      <c r="F84" s="39"/>
      <c r="G84" s="47"/>
      <c r="H84" s="24">
        <f t="shared" si="3"/>
        <v>1629060.346276202</v>
      </c>
      <c r="I84" s="41">
        <f t="shared" si="4"/>
        <v>1640000</v>
      </c>
      <c r="J84" s="29">
        <f t="shared" si="5"/>
        <v>0</v>
      </c>
      <c r="K84" s="42">
        <f t="shared" si="6"/>
        <v>-10939.653723797937</v>
      </c>
      <c r="L84" s="33">
        <f t="shared" si="2"/>
        <v>0</v>
      </c>
      <c r="M84" s="196">
        <f t="shared" si="21"/>
        <v>22555.490540565239</v>
      </c>
      <c r="N84" s="29">
        <f t="shared" si="8"/>
        <v>22166.666666666668</v>
      </c>
      <c r="O84" s="30">
        <f t="shared" ref="O84:O165" si="52">M84-N84</f>
        <v>388.82387389857104</v>
      </c>
      <c r="P84" s="43"/>
      <c r="Q84" s="44"/>
      <c r="R84" s="33"/>
      <c r="V84" s="45"/>
      <c r="W84" s="7"/>
      <c r="X84" s="7"/>
      <c r="Y84" s="46"/>
      <c r="Z84" s="7"/>
      <c r="AA84" s="7"/>
      <c r="AC84" s="7"/>
    </row>
    <row r="85" spans="1:29">
      <c r="A85" s="18">
        <v>44592</v>
      </c>
      <c r="B85" s="37">
        <f t="shared" si="1"/>
        <v>0</v>
      </c>
      <c r="C85" s="29"/>
      <c r="D85" s="29">
        <v>0</v>
      </c>
      <c r="E85" s="38"/>
      <c r="F85" s="39"/>
      <c r="G85" s="47"/>
      <c r="H85" s="24">
        <f t="shared" si="3"/>
        <v>1642818.1958713939</v>
      </c>
      <c r="I85" s="41">
        <f t="shared" si="4"/>
        <v>1640000</v>
      </c>
      <c r="J85" s="29">
        <f t="shared" si="5"/>
        <v>13666.666666666666</v>
      </c>
      <c r="K85" s="42">
        <f t="shared" si="6"/>
        <v>-10848.470795272735</v>
      </c>
      <c r="L85" s="33">
        <f t="shared" si="2"/>
        <v>0</v>
      </c>
      <c r="M85" s="196">
        <f t="shared" si="22"/>
        <v>13757.849595191869</v>
      </c>
      <c r="N85" s="29">
        <f t="shared" si="10"/>
        <v>13666.666666666666</v>
      </c>
      <c r="O85" s="30">
        <f t="shared" si="52"/>
        <v>91.182928525202442</v>
      </c>
      <c r="P85" s="43"/>
      <c r="Q85" s="44"/>
      <c r="R85" s="33"/>
      <c r="V85" s="45"/>
      <c r="W85" s="7"/>
      <c r="X85" s="7"/>
      <c r="Y85" s="46"/>
      <c r="Z85" s="7">
        <f t="shared" si="23"/>
        <v>36313.340135757106</v>
      </c>
      <c r="AA85" s="7"/>
      <c r="AC85" s="7"/>
    </row>
    <row r="86" spans="1:29">
      <c r="A86" s="18">
        <v>44612</v>
      </c>
      <c r="B86" s="37">
        <f t="shared" si="1"/>
        <v>-75305.555555555562</v>
      </c>
      <c r="C86" s="29">
        <v>-40000</v>
      </c>
      <c r="D86" s="29">
        <f t="shared" ref="D86" si="53">-I84*O$4*(A86-A84)/360</f>
        <v>-35305.555555555555</v>
      </c>
      <c r="E86" s="38"/>
      <c r="F86" s="39"/>
      <c r="G86" s="47"/>
      <c r="H86" s="24">
        <f t="shared" si="3"/>
        <v>1589533.9140959661</v>
      </c>
      <c r="I86" s="41">
        <f t="shared" ref="I86:I149" si="54">I85+C86</f>
        <v>1600000</v>
      </c>
      <c r="J86" s="29">
        <f t="shared" ref="J86:J149" si="55">J85+N86+D86</f>
        <v>0</v>
      </c>
      <c r="K86" s="42">
        <f t="shared" ref="K86:K149" si="56">K85+O86</f>
        <v>-10466.085904033762</v>
      </c>
      <c r="L86" s="33">
        <f t="shared" si="2"/>
        <v>0</v>
      </c>
      <c r="M86" s="196">
        <f t="shared" si="21"/>
        <v>22021.273780127864</v>
      </c>
      <c r="N86" s="29">
        <f t="shared" ref="N86:N149" si="57">I85*O$4*(A86-A85-1)/360</f>
        <v>21638.888888888891</v>
      </c>
      <c r="O86" s="30">
        <f t="shared" si="52"/>
        <v>382.38489123897307</v>
      </c>
      <c r="P86" s="43"/>
      <c r="Q86" s="44"/>
      <c r="R86" s="33"/>
      <c r="V86" s="45"/>
      <c r="W86" s="7"/>
      <c r="X86" s="7"/>
      <c r="Y86" s="46"/>
      <c r="Z86" s="7"/>
      <c r="AA86" s="7"/>
      <c r="AC86" s="7"/>
    </row>
    <row r="87" spans="1:29">
      <c r="A87" s="18">
        <v>44620</v>
      </c>
      <c r="B87" s="37">
        <f t="shared" si="1"/>
        <v>0</v>
      </c>
      <c r="C87" s="29"/>
      <c r="D87" s="29">
        <v>0</v>
      </c>
      <c r="E87" s="38"/>
      <c r="F87" s="39"/>
      <c r="G87" s="47"/>
      <c r="H87" s="24">
        <f t="shared" si="3"/>
        <v>1599591.3516614505</v>
      </c>
      <c r="I87" s="41">
        <f t="shared" si="54"/>
        <v>1600000</v>
      </c>
      <c r="J87" s="29">
        <f t="shared" si="55"/>
        <v>10000</v>
      </c>
      <c r="K87" s="42">
        <f t="shared" si="56"/>
        <v>-10408.648338549492</v>
      </c>
      <c r="L87" s="33">
        <f t="shared" si="2"/>
        <v>0</v>
      </c>
      <c r="M87" s="196">
        <f t="shared" si="22"/>
        <v>10057.43756548427</v>
      </c>
      <c r="N87" s="29">
        <f t="shared" ref="N87:N150" si="58">I86*O$4*(A87-A86+1)/360</f>
        <v>10000</v>
      </c>
      <c r="O87" s="30">
        <f t="shared" si="52"/>
        <v>57.437565484269726</v>
      </c>
      <c r="P87" s="43"/>
      <c r="Q87" s="44"/>
      <c r="R87" s="33"/>
      <c r="V87" s="45"/>
      <c r="W87" s="7"/>
      <c r="X87" s="7"/>
      <c r="Y87" s="46"/>
      <c r="Z87" s="7">
        <f t="shared" si="23"/>
        <v>32078.711345612133</v>
      </c>
      <c r="AA87" s="7"/>
      <c r="AC87" s="7"/>
    </row>
    <row r="88" spans="1:29">
      <c r="A88" s="18">
        <v>44640</v>
      </c>
      <c r="B88" s="37">
        <f t="shared" si="1"/>
        <v>-71111.111111111109</v>
      </c>
      <c r="C88" s="29">
        <v>-40000</v>
      </c>
      <c r="D88" s="29">
        <f t="shared" ref="D88" si="59">-I86*O$4*(A88-A86)/360</f>
        <v>-31111.111111111109</v>
      </c>
      <c r="E88" s="38"/>
      <c r="F88" s="39"/>
      <c r="G88" s="47"/>
      <c r="H88" s="24">
        <f t="shared" si="3"/>
        <v>1549922.0770114807</v>
      </c>
      <c r="I88" s="41">
        <f t="shared" si="54"/>
        <v>1560000</v>
      </c>
      <c r="J88" s="29">
        <f t="shared" si="55"/>
        <v>0</v>
      </c>
      <c r="K88" s="42">
        <f t="shared" si="56"/>
        <v>-10077.922988519325</v>
      </c>
      <c r="L88" s="33">
        <f t="shared" si="2"/>
        <v>0</v>
      </c>
      <c r="M88" s="196">
        <f t="shared" si="21"/>
        <v>21441.836461141276</v>
      </c>
      <c r="N88" s="29">
        <f t="shared" si="57"/>
        <v>21111.111111111109</v>
      </c>
      <c r="O88" s="30">
        <f t="shared" si="52"/>
        <v>330.72535003016674</v>
      </c>
      <c r="P88" s="43"/>
      <c r="Q88" s="44"/>
      <c r="R88" s="33"/>
      <c r="V88" s="45"/>
      <c r="W88" s="7"/>
      <c r="X88" s="7"/>
      <c r="Y88" s="46"/>
      <c r="Z88" s="7"/>
      <c r="AA88" s="7"/>
      <c r="AC88" s="7"/>
    </row>
    <row r="89" spans="1:29">
      <c r="A89" s="18">
        <v>44651</v>
      </c>
      <c r="B89" s="37">
        <f t="shared" si="1"/>
        <v>0</v>
      </c>
      <c r="C89" s="29"/>
      <c r="D89" s="29">
        <v>0</v>
      </c>
      <c r="E89" s="38"/>
      <c r="F89" s="39"/>
      <c r="G89" s="47"/>
      <c r="H89" s="24">
        <f t="shared" si="3"/>
        <v>1563011.5827922421</v>
      </c>
      <c r="I89" s="41">
        <f t="shared" si="54"/>
        <v>1560000</v>
      </c>
      <c r="J89" s="29">
        <f t="shared" si="55"/>
        <v>13000</v>
      </c>
      <c r="K89" s="42">
        <f t="shared" si="56"/>
        <v>-9988.4172077580333</v>
      </c>
      <c r="L89" s="33">
        <f t="shared" si="2"/>
        <v>0</v>
      </c>
      <c r="M89" s="196">
        <f t="shared" si="22"/>
        <v>13089.505780761292</v>
      </c>
      <c r="N89" s="29">
        <f t="shared" si="58"/>
        <v>13000</v>
      </c>
      <c r="O89" s="30">
        <f t="shared" si="52"/>
        <v>89.505780761292044</v>
      </c>
      <c r="P89" s="43"/>
      <c r="Q89" s="44"/>
      <c r="R89" s="33"/>
      <c r="V89" s="45"/>
      <c r="W89" s="7"/>
      <c r="X89" s="7"/>
      <c r="Y89" s="46"/>
      <c r="Z89" s="7">
        <f t="shared" si="23"/>
        <v>34531.342241902566</v>
      </c>
      <c r="AA89" s="7"/>
      <c r="AC89" s="7"/>
    </row>
    <row r="90" spans="1:29">
      <c r="A90" s="18">
        <v>44671</v>
      </c>
      <c r="B90" s="37">
        <f t="shared" si="1"/>
        <v>-73583.333333333343</v>
      </c>
      <c r="C90" s="29">
        <v>-40000</v>
      </c>
      <c r="D90" s="29">
        <f t="shared" ref="D90" si="60">-I88*O$4*(A90-A88)/360</f>
        <v>-33583.333333333336</v>
      </c>
      <c r="E90" s="38"/>
      <c r="F90" s="39"/>
      <c r="G90" s="47"/>
      <c r="H90" s="24">
        <f t="shared" si="3"/>
        <v>1510379.7497969738</v>
      </c>
      <c r="I90" s="41">
        <f t="shared" si="54"/>
        <v>1520000</v>
      </c>
      <c r="J90" s="29">
        <f t="shared" si="55"/>
        <v>0</v>
      </c>
      <c r="K90" s="42">
        <f t="shared" si="56"/>
        <v>-9620.2502030263022</v>
      </c>
      <c r="L90" s="33">
        <f t="shared" si="2"/>
        <v>0</v>
      </c>
      <c r="M90" s="196">
        <f t="shared" si="21"/>
        <v>20951.500338065063</v>
      </c>
      <c r="N90" s="29">
        <f t="shared" si="57"/>
        <v>20583.333333333332</v>
      </c>
      <c r="O90" s="30">
        <f t="shared" si="52"/>
        <v>368.16700473173114</v>
      </c>
      <c r="P90" s="43"/>
      <c r="Q90" s="44"/>
      <c r="R90" s="33"/>
      <c r="V90" s="45"/>
      <c r="W90" s="7"/>
      <c r="X90" s="7"/>
      <c r="Y90" s="46"/>
      <c r="Z90" s="7"/>
      <c r="AA90" s="7"/>
      <c r="AC90" s="7"/>
    </row>
    <row r="91" spans="1:29">
      <c r="A91" s="18">
        <v>44681</v>
      </c>
      <c r="B91" s="37">
        <f t="shared" si="1"/>
        <v>0</v>
      </c>
      <c r="C91" s="29"/>
      <c r="D91" s="29">
        <v>0</v>
      </c>
      <c r="E91" s="38"/>
      <c r="F91" s="39"/>
      <c r="G91" s="47"/>
      <c r="H91" s="24">
        <f t="shared" si="3"/>
        <v>1522068.2447408063</v>
      </c>
      <c r="I91" s="41">
        <f t="shared" si="54"/>
        <v>1520000</v>
      </c>
      <c r="J91" s="29">
        <f t="shared" si="55"/>
        <v>11611.111111111111</v>
      </c>
      <c r="K91" s="42">
        <f t="shared" si="56"/>
        <v>-9542.8663703047678</v>
      </c>
      <c r="L91" s="33">
        <f t="shared" si="2"/>
        <v>0</v>
      </c>
      <c r="M91" s="196">
        <f t="shared" si="22"/>
        <v>11688.494943832646</v>
      </c>
      <c r="N91" s="29">
        <f t="shared" si="58"/>
        <v>11611.111111111111</v>
      </c>
      <c r="O91" s="30">
        <f t="shared" si="52"/>
        <v>77.383832721534418</v>
      </c>
      <c r="P91" s="43"/>
      <c r="Q91" s="44"/>
      <c r="R91" s="33"/>
      <c r="V91" s="45"/>
      <c r="W91" s="7"/>
      <c r="X91" s="7"/>
      <c r="Y91" s="46"/>
      <c r="Z91" s="7">
        <f t="shared" si="23"/>
        <v>32639.995281897711</v>
      </c>
      <c r="AA91" s="7"/>
      <c r="AC91" s="7"/>
    </row>
    <row r="92" spans="1:29">
      <c r="A92" s="18">
        <v>44701</v>
      </c>
      <c r="B92" s="37">
        <f t="shared" si="1"/>
        <v>-71666.666666666672</v>
      </c>
      <c r="C92" s="29">
        <v>-40000</v>
      </c>
      <c r="D92" s="29">
        <f t="shared" ref="D92" si="61">-I90*O$4*(A92-A90)/360</f>
        <v>-31666.666666666668</v>
      </c>
      <c r="E92" s="38"/>
      <c r="F92" s="39"/>
      <c r="G92" s="47"/>
      <c r="H92" s="24">
        <f t="shared" si="3"/>
        <v>1470804.2505145294</v>
      </c>
      <c r="I92" s="41">
        <f t="shared" si="54"/>
        <v>1480000</v>
      </c>
      <c r="J92" s="29">
        <f t="shared" si="55"/>
        <v>0</v>
      </c>
      <c r="K92" s="42">
        <f t="shared" si="56"/>
        <v>-9195.7494854706601</v>
      </c>
      <c r="L92" s="33">
        <f t="shared" si="2"/>
        <v>0</v>
      </c>
      <c r="M92" s="196">
        <f t="shared" ref="M92:M154" si="62">H91*((100%+$O$8)^(A92-A91-1)-100%)</f>
        <v>20402.672440389662</v>
      </c>
      <c r="N92" s="29">
        <f t="shared" si="57"/>
        <v>20055.555555555555</v>
      </c>
      <c r="O92" s="30">
        <f t="shared" si="52"/>
        <v>347.11688483410762</v>
      </c>
      <c r="P92" s="43"/>
      <c r="Q92" s="44"/>
      <c r="R92" s="33"/>
      <c r="V92" s="45"/>
      <c r="W92" s="7"/>
      <c r="X92" s="7"/>
      <c r="Y92" s="46"/>
      <c r="Z92" s="7"/>
      <c r="AA92" s="7"/>
      <c r="AC92" s="7"/>
    </row>
    <row r="93" spans="1:29">
      <c r="A93" s="18">
        <v>44712</v>
      </c>
      <c r="B93" s="37">
        <f t="shared" si="1"/>
        <v>0</v>
      </c>
      <c r="C93" s="29"/>
      <c r="D93" s="29">
        <v>0</v>
      </c>
      <c r="E93" s="38"/>
      <c r="F93" s="39"/>
      <c r="G93" s="47"/>
      <c r="H93" s="24">
        <f t="shared" si="3"/>
        <v>1483225.5851254922</v>
      </c>
      <c r="I93" s="41">
        <f t="shared" si="54"/>
        <v>1480000</v>
      </c>
      <c r="J93" s="29">
        <f t="shared" si="55"/>
        <v>12333.333333333334</v>
      </c>
      <c r="K93" s="42">
        <f t="shared" si="56"/>
        <v>-9107.7482078410922</v>
      </c>
      <c r="L93" s="33">
        <f t="shared" si="2"/>
        <v>0</v>
      </c>
      <c r="M93" s="196">
        <f t="shared" ref="M93:M155" si="63">H92*((100%+$O$8)^(A93-A92+1)-100%)</f>
        <v>12421.334610962902</v>
      </c>
      <c r="N93" s="29">
        <f t="shared" si="58"/>
        <v>12333.333333333334</v>
      </c>
      <c r="O93" s="30">
        <f t="shared" si="52"/>
        <v>88.001277629567994</v>
      </c>
      <c r="P93" s="43"/>
      <c r="Q93" s="44"/>
      <c r="R93" s="33"/>
      <c r="V93" s="45"/>
      <c r="W93" s="7"/>
      <c r="X93" s="7"/>
      <c r="Y93" s="46"/>
      <c r="Z93" s="7">
        <f t="shared" ref="Z93:Z155" si="64">M93+M92</f>
        <v>32824.007051352564</v>
      </c>
      <c r="AA93" s="7"/>
      <c r="AC93" s="7"/>
    </row>
    <row r="94" spans="1:29">
      <c r="A94" s="18">
        <v>44732</v>
      </c>
      <c r="B94" s="37">
        <f t="shared" si="1"/>
        <v>-71861.111111111109</v>
      </c>
      <c r="C94" s="29">
        <v>-40000</v>
      </c>
      <c r="D94" s="29">
        <f t="shared" ref="D94" si="65">-I92*O$4*(A94-A92)/360</f>
        <v>-31861.111111111109</v>
      </c>
      <c r="E94" s="38"/>
      <c r="F94" s="39"/>
      <c r="G94" s="47"/>
      <c r="H94" s="24">
        <f t="shared" si="3"/>
        <v>1431246.4772511506</v>
      </c>
      <c r="I94" s="41">
        <f t="shared" si="54"/>
        <v>1440000</v>
      </c>
      <c r="J94" s="29">
        <f t="shared" si="55"/>
        <v>0</v>
      </c>
      <c r="K94" s="42">
        <f t="shared" si="56"/>
        <v>-8753.5227488494147</v>
      </c>
      <c r="L94" s="33">
        <f t="shared" si="2"/>
        <v>0</v>
      </c>
      <c r="M94" s="196">
        <f t="shared" si="62"/>
        <v>19882.003236769455</v>
      </c>
      <c r="N94" s="29">
        <f t="shared" si="57"/>
        <v>19527.777777777777</v>
      </c>
      <c r="O94" s="30">
        <f t="shared" si="52"/>
        <v>354.22545899167744</v>
      </c>
      <c r="P94" s="43"/>
      <c r="Q94" s="44"/>
      <c r="R94" s="33"/>
      <c r="V94" s="45"/>
      <c r="W94" s="7"/>
      <c r="X94" s="7"/>
      <c r="Y94" s="46"/>
      <c r="Z94" s="7"/>
      <c r="AA94" s="7"/>
      <c r="AC94" s="7"/>
    </row>
    <row r="95" spans="1:29">
      <c r="A95" s="18">
        <v>44742</v>
      </c>
      <c r="B95" s="37">
        <f t="shared" si="1"/>
        <v>0</v>
      </c>
      <c r="C95" s="29"/>
      <c r="D95" s="29">
        <v>0</v>
      </c>
      <c r="E95" s="38"/>
      <c r="F95" s="39"/>
      <c r="G95" s="47"/>
      <c r="H95" s="24">
        <f t="shared" si="3"/>
        <v>1442322.5772948496</v>
      </c>
      <c r="I95" s="41">
        <f t="shared" si="54"/>
        <v>1440000</v>
      </c>
      <c r="J95" s="29">
        <f t="shared" si="55"/>
        <v>11000</v>
      </c>
      <c r="K95" s="42">
        <f t="shared" si="56"/>
        <v>-8677.4227051504058</v>
      </c>
      <c r="L95" s="33">
        <f t="shared" si="2"/>
        <v>0</v>
      </c>
      <c r="M95" s="196">
        <f t="shared" si="63"/>
        <v>11076.100043699009</v>
      </c>
      <c r="N95" s="29">
        <f t="shared" si="58"/>
        <v>11000</v>
      </c>
      <c r="O95" s="30">
        <f t="shared" si="52"/>
        <v>76.100043699008893</v>
      </c>
      <c r="P95" s="43"/>
      <c r="Q95" s="44"/>
      <c r="R95" s="33"/>
      <c r="V95" s="45"/>
      <c r="W95" s="7"/>
      <c r="X95" s="7"/>
      <c r="Y95" s="46"/>
      <c r="Z95" s="7">
        <f t="shared" si="64"/>
        <v>30958.103280468466</v>
      </c>
      <c r="AA95" s="7"/>
      <c r="AC95" s="7"/>
    </row>
    <row r="96" spans="1:29">
      <c r="A96" s="18">
        <v>44762</v>
      </c>
      <c r="B96" s="37">
        <f t="shared" si="1"/>
        <v>-70000</v>
      </c>
      <c r="C96" s="29">
        <v>-40000</v>
      </c>
      <c r="D96" s="29">
        <f t="shared" ref="D96" si="66">-I94*O$4*(A96-A94)/360</f>
        <v>-30000</v>
      </c>
      <c r="E96" s="38"/>
      <c r="F96" s="39"/>
      <c r="G96" s="47"/>
      <c r="H96" s="24">
        <f t="shared" si="3"/>
        <v>1391656.2932432673</v>
      </c>
      <c r="I96" s="41">
        <f t="shared" si="54"/>
        <v>1400000</v>
      </c>
      <c r="J96" s="29">
        <f t="shared" si="55"/>
        <v>0</v>
      </c>
      <c r="K96" s="42">
        <f t="shared" si="56"/>
        <v>-8343.7067567327358</v>
      </c>
      <c r="L96" s="33">
        <f t="shared" si="2"/>
        <v>0</v>
      </c>
      <c r="M96" s="196">
        <f t="shared" si="62"/>
        <v>19333.71594841767</v>
      </c>
      <c r="N96" s="29">
        <f t="shared" si="57"/>
        <v>19000</v>
      </c>
      <c r="O96" s="30">
        <f t="shared" si="52"/>
        <v>333.71594841767001</v>
      </c>
      <c r="P96" s="43"/>
      <c r="Q96" s="44"/>
      <c r="R96" s="33"/>
      <c r="V96" s="45"/>
      <c r="W96" s="7"/>
      <c r="X96" s="7"/>
      <c r="Y96" s="46"/>
      <c r="Z96" s="7"/>
      <c r="AA96" s="7"/>
      <c r="AC96" s="7"/>
    </row>
    <row r="97" spans="1:29">
      <c r="A97" s="18">
        <v>44773</v>
      </c>
      <c r="B97" s="37">
        <f t="shared" si="1"/>
        <v>0</v>
      </c>
      <c r="C97" s="29"/>
      <c r="D97" s="29">
        <v>0</v>
      </c>
      <c r="E97" s="38"/>
      <c r="F97" s="39"/>
      <c r="G97" s="47"/>
      <c r="H97" s="24">
        <f t="shared" si="3"/>
        <v>1403409.2022219975</v>
      </c>
      <c r="I97" s="41">
        <f t="shared" si="54"/>
        <v>1400000</v>
      </c>
      <c r="J97" s="29">
        <f t="shared" si="55"/>
        <v>11666.666666666666</v>
      </c>
      <c r="K97" s="42">
        <f t="shared" si="56"/>
        <v>-8257.46444466908</v>
      </c>
      <c r="L97" s="33">
        <f t="shared" si="2"/>
        <v>0</v>
      </c>
      <c r="M97" s="196">
        <f t="shared" si="63"/>
        <v>11752.908978730322</v>
      </c>
      <c r="N97" s="29">
        <f t="shared" si="58"/>
        <v>11666.666666666666</v>
      </c>
      <c r="O97" s="30">
        <f t="shared" si="52"/>
        <v>86.242312063655845</v>
      </c>
      <c r="P97" s="43"/>
      <c r="Q97" s="44"/>
      <c r="R97" s="33"/>
      <c r="V97" s="45"/>
      <c r="W97" s="7"/>
      <c r="X97" s="7"/>
      <c r="Y97" s="46"/>
      <c r="Z97" s="7">
        <f t="shared" si="64"/>
        <v>31086.62492714799</v>
      </c>
      <c r="AA97" s="7"/>
      <c r="AC97" s="7"/>
    </row>
    <row r="98" spans="1:29">
      <c r="A98" s="18">
        <v>44793</v>
      </c>
      <c r="B98" s="37">
        <f t="shared" si="1"/>
        <v>-70138.888888888891</v>
      </c>
      <c r="C98" s="29">
        <v>-40000</v>
      </c>
      <c r="D98" s="29">
        <f t="shared" ref="D98" si="67">-I96*O$4*(A98-A96)/360</f>
        <v>-30138.888888888891</v>
      </c>
      <c r="E98" s="38"/>
      <c r="F98" s="39"/>
      <c r="G98" s="47"/>
      <c r="H98" s="24">
        <f t="shared" si="3"/>
        <v>1352082.4121675075</v>
      </c>
      <c r="I98" s="41">
        <f t="shared" si="54"/>
        <v>1360000</v>
      </c>
      <c r="J98" s="29">
        <f t="shared" si="55"/>
        <v>0</v>
      </c>
      <c r="K98" s="42">
        <f t="shared" si="56"/>
        <v>-7917.5878324924743</v>
      </c>
      <c r="L98" s="33">
        <f t="shared" si="2"/>
        <v>0</v>
      </c>
      <c r="M98" s="196">
        <f t="shared" si="62"/>
        <v>18812.098834398828</v>
      </c>
      <c r="N98" s="29">
        <f t="shared" si="57"/>
        <v>18472.222222222223</v>
      </c>
      <c r="O98" s="30">
        <f t="shared" si="52"/>
        <v>339.8766121766057</v>
      </c>
      <c r="P98" s="43"/>
      <c r="Q98" s="44"/>
      <c r="R98" s="33"/>
      <c r="V98" s="45"/>
      <c r="W98" s="7"/>
      <c r="X98" s="7"/>
      <c r="Y98" s="46"/>
      <c r="Z98" s="7"/>
      <c r="AA98" s="7"/>
      <c r="AC98" s="7"/>
    </row>
    <row r="99" spans="1:29">
      <c r="A99" s="18">
        <v>44804</v>
      </c>
      <c r="B99" s="37">
        <f t="shared" si="1"/>
        <v>0</v>
      </c>
      <c r="C99" s="29"/>
      <c r="D99" s="29">
        <v>0</v>
      </c>
      <c r="E99" s="38"/>
      <c r="F99" s="39"/>
      <c r="G99" s="47"/>
      <c r="H99" s="24">
        <f t="shared" si="3"/>
        <v>1363501.1091540407</v>
      </c>
      <c r="I99" s="41">
        <f t="shared" si="54"/>
        <v>1360000</v>
      </c>
      <c r="J99" s="29">
        <f t="shared" si="55"/>
        <v>11333.333333333334</v>
      </c>
      <c r="K99" s="42">
        <f t="shared" si="56"/>
        <v>-7832.2241792926161</v>
      </c>
      <c r="L99" s="33">
        <f t="shared" si="2"/>
        <v>0</v>
      </c>
      <c r="M99" s="196">
        <f t="shared" si="63"/>
        <v>11418.696986533192</v>
      </c>
      <c r="N99" s="29">
        <f t="shared" si="58"/>
        <v>11333.333333333334</v>
      </c>
      <c r="O99" s="30">
        <f t="shared" si="52"/>
        <v>85.363653199858163</v>
      </c>
      <c r="P99" s="43"/>
      <c r="Q99" s="44"/>
      <c r="R99" s="33"/>
      <c r="V99" s="45"/>
      <c r="W99" s="7"/>
      <c r="X99" s="7"/>
      <c r="Y99" s="46"/>
      <c r="Z99" s="7">
        <f t="shared" si="64"/>
        <v>30230.79582093202</v>
      </c>
      <c r="AA99" s="7"/>
      <c r="AC99" s="7"/>
    </row>
    <row r="100" spans="1:29">
      <c r="A100" s="18">
        <v>44824</v>
      </c>
      <c r="B100" s="37">
        <f t="shared" si="1"/>
        <v>-69277.777777777781</v>
      </c>
      <c r="C100" s="29">
        <v>-40000</v>
      </c>
      <c r="D100" s="29">
        <f t="shared" ref="D100" si="68">-I98*O$4*(A100-A98)/360</f>
        <v>-29277.777777777777</v>
      </c>
      <c r="E100" s="38"/>
      <c r="F100" s="39"/>
      <c r="G100" s="47"/>
      <c r="H100" s="24">
        <f t="shared" si="3"/>
        <v>1312500.4793282689</v>
      </c>
      <c r="I100" s="41">
        <f t="shared" si="54"/>
        <v>1320000</v>
      </c>
      <c r="J100" s="29">
        <f t="shared" si="55"/>
        <v>0</v>
      </c>
      <c r="K100" s="42">
        <f t="shared" si="56"/>
        <v>-7499.5206717310048</v>
      </c>
      <c r="L100" s="33">
        <f t="shared" si="2"/>
        <v>0</v>
      </c>
      <c r="M100" s="196">
        <f t="shared" si="62"/>
        <v>18277.147952006057</v>
      </c>
      <c r="N100" s="29">
        <f t="shared" si="57"/>
        <v>17944.444444444445</v>
      </c>
      <c r="O100" s="30">
        <f t="shared" si="52"/>
        <v>332.70350756161133</v>
      </c>
      <c r="P100" s="43"/>
      <c r="Q100" s="44"/>
      <c r="R100" s="33"/>
      <c r="V100" s="45"/>
      <c r="W100" s="7"/>
      <c r="X100" s="7"/>
      <c r="Y100" s="46"/>
      <c r="Z100" s="7"/>
      <c r="AA100" s="7"/>
      <c r="AC100" s="7"/>
    </row>
    <row r="101" spans="1:29">
      <c r="A101" s="18">
        <v>44834</v>
      </c>
      <c r="B101" s="37">
        <f t="shared" si="1"/>
        <v>0</v>
      </c>
      <c r="C101" s="29"/>
      <c r="D101" s="29">
        <v>0</v>
      </c>
      <c r="E101" s="38"/>
      <c r="F101" s="39"/>
      <c r="G101" s="47"/>
      <c r="H101" s="24">
        <f t="shared" si="3"/>
        <v>1322657.6303483807</v>
      </c>
      <c r="I101" s="41">
        <f t="shared" si="54"/>
        <v>1320000</v>
      </c>
      <c r="J101" s="29">
        <f t="shared" si="55"/>
        <v>10083.333333333334</v>
      </c>
      <c r="K101" s="42">
        <f t="shared" si="56"/>
        <v>-7425.7029849526334</v>
      </c>
      <c r="L101" s="33">
        <f t="shared" si="2"/>
        <v>0</v>
      </c>
      <c r="M101" s="196">
        <f t="shared" si="63"/>
        <v>10157.151020111705</v>
      </c>
      <c r="N101" s="29">
        <f t="shared" si="58"/>
        <v>10083.333333333334</v>
      </c>
      <c r="O101" s="30">
        <f t="shared" si="52"/>
        <v>73.817686778371353</v>
      </c>
      <c r="P101" s="43"/>
      <c r="Q101" s="44"/>
      <c r="R101" s="33"/>
      <c r="V101" s="45"/>
      <c r="W101" s="7"/>
      <c r="X101" s="7"/>
      <c r="Y101" s="46"/>
      <c r="Z101" s="7">
        <f t="shared" si="64"/>
        <v>28434.298972117762</v>
      </c>
      <c r="AA101" s="7"/>
      <c r="AC101" s="7"/>
    </row>
    <row r="102" spans="1:29">
      <c r="A102" s="18">
        <v>44854</v>
      </c>
      <c r="B102" s="37">
        <f t="shared" si="1"/>
        <v>-67500</v>
      </c>
      <c r="C102" s="29">
        <v>-40000</v>
      </c>
      <c r="D102" s="29">
        <f t="shared" ref="D102" si="69">-I100*O$4*(A102-A100)/360</f>
        <v>-27500</v>
      </c>
      <c r="E102" s="38"/>
      <c r="F102" s="39"/>
      <c r="G102" s="47"/>
      <c r="H102" s="24">
        <f t="shared" si="3"/>
        <v>1272887.2889730998</v>
      </c>
      <c r="I102" s="41">
        <f t="shared" si="54"/>
        <v>1280000</v>
      </c>
      <c r="J102" s="29">
        <f t="shared" si="55"/>
        <v>0</v>
      </c>
      <c r="K102" s="42">
        <f t="shared" si="56"/>
        <v>-7112.7110269001314</v>
      </c>
      <c r="L102" s="33">
        <f t="shared" si="2"/>
        <v>0</v>
      </c>
      <c r="M102" s="196">
        <f t="shared" si="62"/>
        <v>17729.65862471917</v>
      </c>
      <c r="N102" s="29">
        <f t="shared" si="57"/>
        <v>17416.666666666668</v>
      </c>
      <c r="O102" s="30">
        <f t="shared" si="52"/>
        <v>312.99195805250201</v>
      </c>
      <c r="P102" s="43"/>
      <c r="Q102" s="44"/>
      <c r="R102" s="33"/>
      <c r="V102" s="45"/>
      <c r="W102" s="7"/>
      <c r="X102" s="7"/>
      <c r="Y102" s="46"/>
      <c r="Z102" s="7"/>
      <c r="AA102" s="7"/>
      <c r="AC102" s="7"/>
    </row>
    <row r="103" spans="1:29">
      <c r="A103" s="18">
        <v>44865</v>
      </c>
      <c r="B103" s="37">
        <f t="shared" si="1"/>
        <v>0</v>
      </c>
      <c r="C103" s="29"/>
      <c r="D103" s="29">
        <v>0</v>
      </c>
      <c r="E103" s="38"/>
      <c r="F103" s="39"/>
      <c r="G103" s="47"/>
      <c r="H103" s="24">
        <f t="shared" si="3"/>
        <v>1283637.161998586</v>
      </c>
      <c r="I103" s="41">
        <f t="shared" si="54"/>
        <v>1280000</v>
      </c>
      <c r="J103" s="29">
        <f t="shared" si="55"/>
        <v>10666.666666666666</v>
      </c>
      <c r="K103" s="42">
        <f t="shared" si="56"/>
        <v>-7029.5046680807918</v>
      </c>
      <c r="L103" s="33">
        <f t="shared" si="2"/>
        <v>0</v>
      </c>
      <c r="M103" s="196">
        <f t="shared" si="63"/>
        <v>10749.873025486006</v>
      </c>
      <c r="N103" s="29">
        <f t="shared" si="58"/>
        <v>10666.666666666666</v>
      </c>
      <c r="O103" s="30">
        <f t="shared" si="52"/>
        <v>83.206358819339584</v>
      </c>
      <c r="P103" s="43"/>
      <c r="Q103" s="44"/>
      <c r="R103" s="33"/>
      <c r="V103" s="45"/>
      <c r="W103" s="7"/>
      <c r="X103" s="7"/>
      <c r="Y103" s="46"/>
      <c r="Z103" s="7">
        <f t="shared" si="64"/>
        <v>28479.531650205176</v>
      </c>
      <c r="AA103" s="7"/>
      <c r="AC103" s="7"/>
    </row>
    <row r="104" spans="1:29">
      <c r="A104" s="18">
        <v>44885</v>
      </c>
      <c r="B104" s="37">
        <f t="shared" si="1"/>
        <v>-67555.555555555562</v>
      </c>
      <c r="C104" s="29">
        <v>-40000</v>
      </c>
      <c r="D104" s="29">
        <f t="shared" ref="D104" si="70">-I102*O$4*(A104-A102)/360</f>
        <v>-27555.555555555555</v>
      </c>
      <c r="E104" s="38"/>
      <c r="F104" s="39"/>
      <c r="G104" s="47"/>
      <c r="H104" s="24">
        <f t="shared" si="3"/>
        <v>1233288.2124142549</v>
      </c>
      <c r="I104" s="41">
        <f t="shared" si="54"/>
        <v>1240000</v>
      </c>
      <c r="J104" s="29">
        <f t="shared" si="55"/>
        <v>0</v>
      </c>
      <c r="K104" s="42">
        <f t="shared" si="56"/>
        <v>-6711.7875857450508</v>
      </c>
      <c r="L104" s="33">
        <f t="shared" si="2"/>
        <v>0</v>
      </c>
      <c r="M104" s="196">
        <f t="shared" si="62"/>
        <v>17206.605971224632</v>
      </c>
      <c r="N104" s="29">
        <f t="shared" si="57"/>
        <v>16888.888888888891</v>
      </c>
      <c r="O104" s="30">
        <f t="shared" si="52"/>
        <v>317.717082335741</v>
      </c>
      <c r="P104" s="43"/>
      <c r="Q104" s="44"/>
      <c r="R104" s="33"/>
      <c r="V104" s="45"/>
      <c r="W104" s="7"/>
      <c r="X104" s="7"/>
      <c r="Y104" s="46"/>
      <c r="Z104" s="7"/>
      <c r="AA104" s="7"/>
      <c r="AC104" s="7"/>
    </row>
    <row r="105" spans="1:29">
      <c r="A105" s="18">
        <v>44895</v>
      </c>
      <c r="B105" s="37">
        <f t="shared" si="1"/>
        <v>0</v>
      </c>
      <c r="C105" s="29"/>
      <c r="D105" s="29">
        <v>0</v>
      </c>
      <c r="E105" s="38"/>
      <c r="F105" s="39"/>
      <c r="G105" s="47"/>
      <c r="H105" s="24">
        <f t="shared" si="3"/>
        <v>1242832.357214283</v>
      </c>
      <c r="I105" s="41">
        <f t="shared" si="54"/>
        <v>1240000</v>
      </c>
      <c r="J105" s="29">
        <f t="shared" si="55"/>
        <v>9472.2222222222226</v>
      </c>
      <c r="K105" s="42">
        <f t="shared" si="56"/>
        <v>-6639.8650079392464</v>
      </c>
      <c r="L105" s="33">
        <f t="shared" si="2"/>
        <v>0</v>
      </c>
      <c r="M105" s="196">
        <f t="shared" si="63"/>
        <v>9544.144800028027</v>
      </c>
      <c r="N105" s="29">
        <f t="shared" si="58"/>
        <v>9472.2222222222226</v>
      </c>
      <c r="O105" s="30">
        <f t="shared" si="52"/>
        <v>71.922577805804394</v>
      </c>
      <c r="P105" s="43"/>
      <c r="Q105" s="44"/>
      <c r="R105" s="33"/>
      <c r="V105" s="45"/>
      <c r="W105" s="7"/>
      <c r="X105" s="7"/>
      <c r="Y105" s="46"/>
      <c r="Z105" s="7">
        <f t="shared" si="64"/>
        <v>26750.750771252657</v>
      </c>
      <c r="AA105" s="7"/>
      <c r="AC105" s="7"/>
    </row>
    <row r="106" spans="1:29">
      <c r="A106" s="18">
        <v>44915</v>
      </c>
      <c r="B106" s="37">
        <f t="shared" si="1"/>
        <v>-65833.333333333328</v>
      </c>
      <c r="C106" s="29">
        <v>-40000</v>
      </c>
      <c r="D106" s="29">
        <f t="shared" ref="D106" si="71">-I104*O$4*(A106-A104)/360</f>
        <v>-25833.333333333332</v>
      </c>
      <c r="E106" s="38"/>
      <c r="F106" s="39"/>
      <c r="G106" s="47"/>
      <c r="H106" s="24">
        <f t="shared" si="3"/>
        <v>1193658.6589335673</v>
      </c>
      <c r="I106" s="41">
        <f t="shared" si="54"/>
        <v>1200000</v>
      </c>
      <c r="J106" s="29">
        <f t="shared" si="55"/>
        <v>0</v>
      </c>
      <c r="K106" s="42">
        <f t="shared" si="56"/>
        <v>-6341.3410664325656</v>
      </c>
      <c r="L106" s="33">
        <f t="shared" si="2"/>
        <v>0</v>
      </c>
      <c r="M106" s="196">
        <f t="shared" si="62"/>
        <v>16659.635052617792</v>
      </c>
      <c r="N106" s="29">
        <f t="shared" si="57"/>
        <v>16361.111111111111</v>
      </c>
      <c r="O106" s="30">
        <f t="shared" si="52"/>
        <v>298.52394150668079</v>
      </c>
      <c r="P106" s="43"/>
      <c r="Q106" s="44"/>
      <c r="R106" s="33"/>
      <c r="V106" s="45"/>
      <c r="W106" s="7"/>
      <c r="X106" s="7"/>
      <c r="Y106" s="46"/>
      <c r="Z106" s="7"/>
      <c r="AA106" s="7"/>
      <c r="AC106" s="7"/>
    </row>
    <row r="107" spans="1:29">
      <c r="A107" s="18">
        <v>44926</v>
      </c>
      <c r="B107" s="37">
        <f t="shared" si="1"/>
        <v>0</v>
      </c>
      <c r="C107" s="29"/>
      <c r="D107" s="29">
        <v>0</v>
      </c>
      <c r="E107" s="38"/>
      <c r="F107" s="39"/>
      <c r="G107" s="47"/>
      <c r="H107" s="24">
        <f t="shared" si="3"/>
        <v>1203739.4250237525</v>
      </c>
      <c r="I107" s="41">
        <f t="shared" si="54"/>
        <v>1200000</v>
      </c>
      <c r="J107" s="29">
        <f t="shared" si="55"/>
        <v>10000</v>
      </c>
      <c r="K107" s="42">
        <f t="shared" si="56"/>
        <v>-6260.5749762473952</v>
      </c>
      <c r="L107" s="33">
        <f t="shared" si="2"/>
        <v>0</v>
      </c>
      <c r="M107" s="196">
        <f t="shared" si="63"/>
        <v>10080.76609018517</v>
      </c>
      <c r="N107" s="29">
        <f t="shared" si="58"/>
        <v>10000</v>
      </c>
      <c r="O107" s="30">
        <f t="shared" si="52"/>
        <v>80.766090185170469</v>
      </c>
      <c r="P107" s="43"/>
      <c r="Q107" s="44"/>
      <c r="R107" s="33"/>
      <c r="V107" s="45"/>
      <c r="W107" s="7"/>
      <c r="X107" s="7"/>
      <c r="Y107" s="46"/>
      <c r="Z107" s="7">
        <f t="shared" si="64"/>
        <v>26740.401142802963</v>
      </c>
      <c r="AA107" s="7"/>
      <c r="AC107" s="7"/>
    </row>
    <row r="108" spans="1:29">
      <c r="A108" s="18">
        <v>44946</v>
      </c>
      <c r="B108" s="37">
        <f t="shared" si="1"/>
        <v>-65833.333333333328</v>
      </c>
      <c r="C108" s="29">
        <v>-40000</v>
      </c>
      <c r="D108" s="29">
        <f t="shared" ref="D108" si="72">-I106*O$4*(A108-A106)/360</f>
        <v>-25833.333333333332</v>
      </c>
      <c r="E108" s="38"/>
      <c r="F108" s="39"/>
      <c r="G108" s="47"/>
      <c r="H108" s="24">
        <f t="shared" si="3"/>
        <v>1154041.7027428164</v>
      </c>
      <c r="I108" s="41">
        <f t="shared" si="54"/>
        <v>1160000</v>
      </c>
      <c r="J108" s="29">
        <f t="shared" si="55"/>
        <v>0</v>
      </c>
      <c r="K108" s="42">
        <f t="shared" si="56"/>
        <v>-5958.2972571834944</v>
      </c>
      <c r="L108" s="33">
        <f t="shared" si="2"/>
        <v>0</v>
      </c>
      <c r="M108" s="196">
        <f t="shared" si="62"/>
        <v>16135.611052397235</v>
      </c>
      <c r="N108" s="29">
        <f t="shared" si="57"/>
        <v>15833.333333333334</v>
      </c>
      <c r="O108" s="30">
        <f t="shared" si="52"/>
        <v>302.2777190639008</v>
      </c>
      <c r="P108" s="43"/>
      <c r="Q108" s="44"/>
      <c r="R108" s="33"/>
      <c r="V108" s="45"/>
      <c r="W108" s="7"/>
      <c r="X108" s="7"/>
      <c r="Y108" s="46"/>
      <c r="Z108" s="7"/>
      <c r="AA108" s="7"/>
      <c r="AC108" s="7"/>
    </row>
    <row r="109" spans="1:29">
      <c r="A109" s="18">
        <v>44957</v>
      </c>
      <c r="B109" s="37">
        <f t="shared" si="1"/>
        <v>0</v>
      </c>
      <c r="C109" s="29"/>
      <c r="D109" s="29">
        <v>0</v>
      </c>
      <c r="E109" s="38"/>
      <c r="F109" s="39"/>
      <c r="G109" s="47"/>
      <c r="H109" s="24">
        <f t="shared" si="3"/>
        <v>1163787.8930599571</v>
      </c>
      <c r="I109" s="41">
        <f t="shared" si="54"/>
        <v>1160000</v>
      </c>
      <c r="J109" s="29">
        <f t="shared" si="55"/>
        <v>9666.6666666666661</v>
      </c>
      <c r="K109" s="42">
        <f t="shared" si="56"/>
        <v>-5878.7736067095866</v>
      </c>
      <c r="L109" s="33">
        <f t="shared" si="2"/>
        <v>0</v>
      </c>
      <c r="M109" s="196">
        <f t="shared" si="63"/>
        <v>9746.1903171405738</v>
      </c>
      <c r="N109" s="29">
        <f t="shared" si="58"/>
        <v>9666.6666666666661</v>
      </c>
      <c r="O109" s="30">
        <f t="shared" si="52"/>
        <v>79.523650473907765</v>
      </c>
      <c r="P109" s="43"/>
      <c r="Q109" s="44"/>
      <c r="R109" s="33"/>
      <c r="V109" s="45"/>
      <c r="W109" s="7"/>
      <c r="X109" s="7"/>
      <c r="Y109" s="46"/>
      <c r="Z109" s="7">
        <f t="shared" si="64"/>
        <v>25881.80136953781</v>
      </c>
      <c r="AA109" s="7"/>
      <c r="AC109" s="7"/>
    </row>
    <row r="110" spans="1:29">
      <c r="A110" s="18">
        <v>44977</v>
      </c>
      <c r="B110" s="37">
        <f t="shared" si="1"/>
        <v>-64972.222222222219</v>
      </c>
      <c r="C110" s="29">
        <v>-40000</v>
      </c>
      <c r="D110" s="29">
        <f t="shared" ref="D110" si="73">-I108*O$4*(A110-A108)/360</f>
        <v>-24972.222222222223</v>
      </c>
      <c r="E110" s="38"/>
      <c r="F110" s="39"/>
      <c r="G110" s="47"/>
      <c r="H110" s="24">
        <f t="shared" si="3"/>
        <v>1114415.7487279591</v>
      </c>
      <c r="I110" s="41">
        <f t="shared" si="54"/>
        <v>1120000</v>
      </c>
      <c r="J110" s="29">
        <f t="shared" si="55"/>
        <v>0</v>
      </c>
      <c r="K110" s="42">
        <f t="shared" si="56"/>
        <v>-5584.2512720408558</v>
      </c>
      <c r="L110" s="33">
        <f t="shared" si="2"/>
        <v>0</v>
      </c>
      <c r="M110" s="196">
        <f t="shared" si="62"/>
        <v>15600.077890224286</v>
      </c>
      <c r="N110" s="29">
        <f t="shared" si="57"/>
        <v>15305.555555555555</v>
      </c>
      <c r="O110" s="30">
        <f t="shared" si="52"/>
        <v>294.52233466873076</v>
      </c>
      <c r="P110" s="43"/>
      <c r="Q110" s="44"/>
      <c r="R110" s="33"/>
      <c r="V110" s="45"/>
      <c r="W110" s="7"/>
      <c r="X110" s="7"/>
      <c r="Y110" s="46"/>
      <c r="Z110" s="7"/>
      <c r="AA110" s="7"/>
      <c r="AC110" s="7"/>
    </row>
    <row r="111" spans="1:29">
      <c r="A111" s="18">
        <v>44985</v>
      </c>
      <c r="B111" s="37">
        <f t="shared" si="1"/>
        <v>0</v>
      </c>
      <c r="C111" s="29"/>
      <c r="D111" s="29">
        <v>0</v>
      </c>
      <c r="E111" s="38"/>
      <c r="F111" s="39"/>
      <c r="G111" s="47"/>
      <c r="H111" s="24">
        <f t="shared" si="3"/>
        <v>1121466.9772141399</v>
      </c>
      <c r="I111" s="41">
        <f t="shared" si="54"/>
        <v>1120000</v>
      </c>
      <c r="J111" s="29">
        <f t="shared" si="55"/>
        <v>7000</v>
      </c>
      <c r="K111" s="42">
        <f t="shared" si="56"/>
        <v>-5533.0227858601102</v>
      </c>
      <c r="L111" s="33">
        <f t="shared" si="2"/>
        <v>0</v>
      </c>
      <c r="M111" s="196">
        <f t="shared" si="63"/>
        <v>7051.2284861807457</v>
      </c>
      <c r="N111" s="29">
        <f t="shared" si="58"/>
        <v>7000</v>
      </c>
      <c r="O111" s="30">
        <f t="shared" si="52"/>
        <v>51.228486180745676</v>
      </c>
      <c r="P111" s="43"/>
      <c r="Q111" s="44"/>
      <c r="R111" s="33"/>
      <c r="V111" s="45"/>
      <c r="W111" s="7"/>
      <c r="X111" s="7"/>
      <c r="Y111" s="46"/>
      <c r="Z111" s="7">
        <f t="shared" si="64"/>
        <v>22651.306376405031</v>
      </c>
      <c r="AA111" s="7"/>
      <c r="AC111" s="7"/>
    </row>
    <row r="112" spans="1:29">
      <c r="A112" s="18">
        <v>45005</v>
      </c>
      <c r="B112" s="37">
        <f t="shared" si="1"/>
        <v>-61777.777777777781</v>
      </c>
      <c r="C112" s="29">
        <v>-40000</v>
      </c>
      <c r="D112" s="29">
        <f t="shared" ref="D112" si="74">-I110*O$4*(A112-A110)/360</f>
        <v>-21777.777777777777</v>
      </c>
      <c r="E112" s="38"/>
      <c r="F112" s="39"/>
      <c r="G112" s="47"/>
      <c r="H112" s="24">
        <f t="shared" si="3"/>
        <v>1074721.9835890271</v>
      </c>
      <c r="I112" s="41">
        <f t="shared" si="54"/>
        <v>1080000</v>
      </c>
      <c r="J112" s="29">
        <f t="shared" si="55"/>
        <v>0</v>
      </c>
      <c r="K112" s="42">
        <f t="shared" si="56"/>
        <v>-5278.016410973014</v>
      </c>
      <c r="L112" s="33">
        <f t="shared" si="2"/>
        <v>0</v>
      </c>
      <c r="M112" s="196">
        <f t="shared" si="62"/>
        <v>15032.784152664874</v>
      </c>
      <c r="N112" s="29">
        <f t="shared" si="57"/>
        <v>14777.777777777777</v>
      </c>
      <c r="O112" s="30">
        <f t="shared" si="52"/>
        <v>255.00637488709617</v>
      </c>
      <c r="P112" s="43"/>
      <c r="Q112" s="44"/>
      <c r="R112" s="33"/>
      <c r="V112" s="45"/>
      <c r="W112" s="7"/>
      <c r="X112" s="7"/>
      <c r="Y112" s="46"/>
      <c r="Z112" s="7"/>
      <c r="AA112" s="7"/>
      <c r="AC112" s="7"/>
    </row>
    <row r="113" spans="1:29">
      <c r="A113" s="18">
        <v>45016</v>
      </c>
      <c r="B113" s="37">
        <f t="shared" si="1"/>
        <v>0</v>
      </c>
      <c r="C113" s="29"/>
      <c r="D113" s="29">
        <v>0</v>
      </c>
      <c r="E113" s="38"/>
      <c r="F113" s="39"/>
      <c r="G113" s="47"/>
      <c r="H113" s="24">
        <f t="shared" si="3"/>
        <v>1083798.2976989753</v>
      </c>
      <c r="I113" s="41">
        <f t="shared" si="54"/>
        <v>1080000</v>
      </c>
      <c r="J113" s="29">
        <f t="shared" si="55"/>
        <v>9000</v>
      </c>
      <c r="K113" s="42">
        <f t="shared" si="56"/>
        <v>-5201.7023010246266</v>
      </c>
      <c r="L113" s="33">
        <f t="shared" si="2"/>
        <v>0</v>
      </c>
      <c r="M113" s="196">
        <f t="shared" si="63"/>
        <v>9076.3141099483873</v>
      </c>
      <c r="N113" s="29">
        <f t="shared" si="58"/>
        <v>9000</v>
      </c>
      <c r="O113" s="30">
        <f t="shared" si="52"/>
        <v>76.31410994838734</v>
      </c>
      <c r="P113" s="43"/>
      <c r="Q113" s="44"/>
      <c r="R113" s="33"/>
      <c r="V113" s="45"/>
      <c r="W113" s="7"/>
      <c r="X113" s="7"/>
      <c r="Y113" s="46"/>
      <c r="Z113" s="7">
        <f t="shared" si="64"/>
        <v>24109.098262613261</v>
      </c>
      <c r="AA113" s="7"/>
      <c r="AC113" s="7"/>
    </row>
    <row r="114" spans="1:29">
      <c r="A114" s="18">
        <v>45036</v>
      </c>
      <c r="B114" s="37">
        <f t="shared" si="1"/>
        <v>-63250</v>
      </c>
      <c r="C114" s="29">
        <v>-40000</v>
      </c>
      <c r="D114" s="29">
        <f t="shared" ref="D114" si="75">-I112*O$4*(A114-A112)/360</f>
        <v>-23250</v>
      </c>
      <c r="E114" s="38"/>
      <c r="F114" s="39"/>
      <c r="G114" s="47"/>
      <c r="H114" s="24">
        <f t="shared" si="3"/>
        <v>1035076.1493480778</v>
      </c>
      <c r="I114" s="41">
        <f t="shared" si="54"/>
        <v>1040000</v>
      </c>
      <c r="J114" s="29">
        <f t="shared" si="55"/>
        <v>0</v>
      </c>
      <c r="K114" s="42">
        <f t="shared" si="56"/>
        <v>-4923.8506519222283</v>
      </c>
      <c r="L114" s="33">
        <f t="shared" si="2"/>
        <v>0</v>
      </c>
      <c r="M114" s="196">
        <f t="shared" si="62"/>
        <v>14527.851649102398</v>
      </c>
      <c r="N114" s="29">
        <f t="shared" si="57"/>
        <v>14250</v>
      </c>
      <c r="O114" s="30">
        <f t="shared" si="52"/>
        <v>277.85164910239837</v>
      </c>
      <c r="P114" s="43"/>
      <c r="Q114" s="44"/>
      <c r="R114" s="33"/>
      <c r="V114" s="45"/>
      <c r="W114" s="7"/>
      <c r="X114" s="7"/>
      <c r="Y114" s="46"/>
      <c r="Z114" s="7"/>
      <c r="AA114" s="7"/>
      <c r="AC114" s="7"/>
    </row>
    <row r="115" spans="1:29">
      <c r="A115" s="18">
        <v>45046</v>
      </c>
      <c r="B115" s="37">
        <f t="shared" si="1"/>
        <v>0</v>
      </c>
      <c r="C115" s="29"/>
      <c r="D115" s="29">
        <v>0</v>
      </c>
      <c r="E115" s="38"/>
      <c r="F115" s="39"/>
      <c r="G115" s="47"/>
      <c r="H115" s="24">
        <f t="shared" si="3"/>
        <v>1043086.3748160524</v>
      </c>
      <c r="I115" s="41">
        <f t="shared" si="54"/>
        <v>1040000</v>
      </c>
      <c r="J115" s="29">
        <f t="shared" si="55"/>
        <v>7944.4444444444443</v>
      </c>
      <c r="K115" s="42">
        <f t="shared" si="56"/>
        <v>-4858.069628392107</v>
      </c>
      <c r="L115" s="33">
        <f t="shared" si="2"/>
        <v>0</v>
      </c>
      <c r="M115" s="196">
        <f t="shared" si="63"/>
        <v>8010.2254679745656</v>
      </c>
      <c r="N115" s="29">
        <f t="shared" si="58"/>
        <v>7944.4444444444443</v>
      </c>
      <c r="O115" s="30">
        <f t="shared" si="52"/>
        <v>65.781023530121274</v>
      </c>
      <c r="P115" s="43"/>
      <c r="Q115" s="44"/>
      <c r="R115" s="33"/>
      <c r="V115" s="45"/>
      <c r="W115" s="7"/>
      <c r="X115" s="7"/>
      <c r="Y115" s="46"/>
      <c r="Z115" s="7">
        <f t="shared" si="64"/>
        <v>22538.077117076966</v>
      </c>
      <c r="AA115" s="7"/>
      <c r="AC115" s="7"/>
    </row>
    <row r="116" spans="1:29">
      <c r="A116" s="18">
        <v>45066</v>
      </c>
      <c r="B116" s="37">
        <f t="shared" si="1"/>
        <v>-61666.666666666672</v>
      </c>
      <c r="C116" s="29">
        <v>-40000</v>
      </c>
      <c r="D116" s="29">
        <f t="shared" ref="D116" si="76">-I114*O$4*(A116-A114)/360</f>
        <v>-21666.666666666668</v>
      </c>
      <c r="E116" s="38"/>
      <c r="F116" s="39"/>
      <c r="G116" s="47"/>
      <c r="H116" s="24">
        <f t="shared" si="3"/>
        <v>995401.83392195869</v>
      </c>
      <c r="I116" s="41">
        <f t="shared" si="54"/>
        <v>1000000</v>
      </c>
      <c r="J116" s="29">
        <f t="shared" si="55"/>
        <v>0</v>
      </c>
      <c r="K116" s="42">
        <f t="shared" si="56"/>
        <v>-4598.1660780412922</v>
      </c>
      <c r="L116" s="33">
        <f t="shared" si="2"/>
        <v>0</v>
      </c>
      <c r="M116" s="196">
        <f t="shared" si="62"/>
        <v>13982.125772573037</v>
      </c>
      <c r="N116" s="29">
        <f t="shared" si="57"/>
        <v>13722.222222222223</v>
      </c>
      <c r="O116" s="30">
        <f t="shared" si="52"/>
        <v>259.90355035081484</v>
      </c>
      <c r="P116" s="43"/>
      <c r="Q116" s="44"/>
      <c r="R116" s="33"/>
      <c r="V116" s="45"/>
      <c r="W116" s="7"/>
      <c r="X116" s="7"/>
      <c r="Y116" s="46"/>
      <c r="Z116" s="7"/>
      <c r="AA116" s="7"/>
      <c r="AC116" s="7"/>
    </row>
    <row r="117" spans="1:29">
      <c r="A117" s="18">
        <v>45077</v>
      </c>
      <c r="B117" s="37">
        <f t="shared" si="1"/>
        <v>0</v>
      </c>
      <c r="C117" s="29"/>
      <c r="D117" s="29">
        <v>0</v>
      </c>
      <c r="E117" s="38"/>
      <c r="F117" s="39"/>
      <c r="G117" s="47"/>
      <c r="H117" s="24">
        <f t="shared" si="3"/>
        <v>1003808.2681889153</v>
      </c>
      <c r="I117" s="41">
        <f t="shared" si="54"/>
        <v>1000000</v>
      </c>
      <c r="J117" s="29">
        <f t="shared" si="55"/>
        <v>8333.3333333333339</v>
      </c>
      <c r="K117" s="42">
        <f t="shared" si="56"/>
        <v>-4525.0651444180176</v>
      </c>
      <c r="L117" s="33">
        <f t="shared" si="2"/>
        <v>0</v>
      </c>
      <c r="M117" s="196">
        <f t="shared" si="63"/>
        <v>8406.4342669566086</v>
      </c>
      <c r="N117" s="29">
        <f t="shared" si="58"/>
        <v>8333.3333333333339</v>
      </c>
      <c r="O117" s="30">
        <f t="shared" si="52"/>
        <v>73.100933623274614</v>
      </c>
      <c r="P117" s="43"/>
      <c r="Q117" s="44"/>
      <c r="R117" s="33"/>
      <c r="V117" s="45"/>
      <c r="W117" s="7"/>
      <c r="X117" s="7"/>
      <c r="Y117" s="46"/>
      <c r="Z117" s="7">
        <f t="shared" si="64"/>
        <v>22388.560039529646</v>
      </c>
      <c r="AA117" s="7"/>
      <c r="AC117" s="7"/>
    </row>
    <row r="118" spans="1:29">
      <c r="A118" s="18">
        <v>45097</v>
      </c>
      <c r="B118" s="37">
        <f t="shared" si="1"/>
        <v>-61527.777777777781</v>
      </c>
      <c r="C118" s="29">
        <v>-40000</v>
      </c>
      <c r="D118" s="29">
        <f t="shared" ref="D118" si="77">-I116*O$4*(A118-A116)/360</f>
        <v>-21527.777777777777</v>
      </c>
      <c r="E118" s="38"/>
      <c r="F118" s="39"/>
      <c r="G118" s="47"/>
      <c r="H118" s="24">
        <f t="shared" si="3"/>
        <v>955736.10999953572</v>
      </c>
      <c r="I118" s="41">
        <f t="shared" si="54"/>
        <v>960000</v>
      </c>
      <c r="J118" s="29">
        <f t="shared" si="55"/>
        <v>0</v>
      </c>
      <c r="K118" s="42">
        <f t="shared" si="56"/>
        <v>-4263.8900004642628</v>
      </c>
      <c r="L118" s="33">
        <f t="shared" si="2"/>
        <v>0</v>
      </c>
      <c r="M118" s="196">
        <f t="shared" si="62"/>
        <v>13455.6195883982</v>
      </c>
      <c r="N118" s="29">
        <f t="shared" si="57"/>
        <v>13194.444444444445</v>
      </c>
      <c r="O118" s="30">
        <f t="shared" si="52"/>
        <v>261.17514395375474</v>
      </c>
      <c r="P118" s="43"/>
      <c r="Q118" s="44"/>
      <c r="R118" s="33"/>
      <c r="V118" s="45"/>
      <c r="W118" s="7"/>
      <c r="X118" s="7"/>
      <c r="Y118" s="46"/>
      <c r="Z118" s="7"/>
      <c r="AA118" s="7"/>
      <c r="AC118" s="7"/>
    </row>
    <row r="119" spans="1:29">
      <c r="A119" s="18">
        <v>45107</v>
      </c>
      <c r="B119" s="37">
        <f t="shared" si="1"/>
        <v>0</v>
      </c>
      <c r="C119" s="29"/>
      <c r="D119" s="29">
        <v>0</v>
      </c>
      <c r="E119" s="38"/>
      <c r="F119" s="39"/>
      <c r="G119" s="47"/>
      <c r="H119" s="24">
        <f t="shared" si="3"/>
        <v>963132.34044480592</v>
      </c>
      <c r="I119" s="41">
        <f t="shared" si="54"/>
        <v>960000</v>
      </c>
      <c r="J119" s="29">
        <f t="shared" si="55"/>
        <v>7333.333333333333</v>
      </c>
      <c r="K119" s="42">
        <f t="shared" si="56"/>
        <v>-4200.9928885274694</v>
      </c>
      <c r="L119" s="33">
        <f t="shared" si="2"/>
        <v>0</v>
      </c>
      <c r="M119" s="196">
        <f t="shared" si="63"/>
        <v>7396.2304452701264</v>
      </c>
      <c r="N119" s="29">
        <f t="shared" si="58"/>
        <v>7333.333333333333</v>
      </c>
      <c r="O119" s="30">
        <f t="shared" si="52"/>
        <v>62.897111936793408</v>
      </c>
      <c r="P119" s="43"/>
      <c r="Q119" s="44"/>
      <c r="R119" s="33"/>
      <c r="V119" s="45"/>
      <c r="W119" s="7"/>
      <c r="X119" s="7"/>
      <c r="Y119" s="46"/>
      <c r="Z119" s="7">
        <f t="shared" si="64"/>
        <v>20851.850033668328</v>
      </c>
      <c r="AA119" s="7"/>
      <c r="AC119" s="7"/>
    </row>
    <row r="120" spans="1:29">
      <c r="A120" s="18">
        <v>45127</v>
      </c>
      <c r="B120" s="37">
        <f t="shared" si="1"/>
        <v>-60000</v>
      </c>
      <c r="C120" s="29">
        <v>-40000</v>
      </c>
      <c r="D120" s="29">
        <f t="shared" ref="D120" si="78">-I118*O$4*(A120-A118)/360</f>
        <v>-20000</v>
      </c>
      <c r="E120" s="38"/>
      <c r="F120" s="39"/>
      <c r="G120" s="47"/>
      <c r="H120" s="24">
        <f t="shared" si="3"/>
        <v>916042.71665608243</v>
      </c>
      <c r="I120" s="41">
        <f t="shared" si="54"/>
        <v>920000</v>
      </c>
      <c r="J120" s="29">
        <f t="shared" si="55"/>
        <v>0</v>
      </c>
      <c r="K120" s="42">
        <f t="shared" si="56"/>
        <v>-3957.2833439175356</v>
      </c>
      <c r="L120" s="33">
        <f t="shared" si="2"/>
        <v>0</v>
      </c>
      <c r="M120" s="196">
        <f t="shared" si="62"/>
        <v>12910.3762112766</v>
      </c>
      <c r="N120" s="29">
        <f t="shared" si="57"/>
        <v>12666.666666666666</v>
      </c>
      <c r="O120" s="30">
        <f t="shared" si="52"/>
        <v>243.7095446099338</v>
      </c>
      <c r="P120" s="43"/>
      <c r="Q120" s="44"/>
      <c r="R120" s="33"/>
      <c r="V120" s="45"/>
      <c r="W120" s="7"/>
      <c r="X120" s="7"/>
      <c r="Y120" s="46"/>
      <c r="Z120" s="7"/>
      <c r="AA120" s="7"/>
      <c r="AC120" s="7"/>
    </row>
    <row r="121" spans="1:29">
      <c r="A121" s="18">
        <v>45138</v>
      </c>
      <c r="B121" s="37">
        <f t="shared" si="1"/>
        <v>0</v>
      </c>
      <c r="C121" s="29"/>
      <c r="D121" s="29">
        <v>0</v>
      </c>
      <c r="E121" s="38"/>
      <c r="F121" s="39"/>
      <c r="G121" s="47"/>
      <c r="H121" s="24">
        <f t="shared" si="3"/>
        <v>923778.94198827073</v>
      </c>
      <c r="I121" s="41">
        <f t="shared" si="54"/>
        <v>920000</v>
      </c>
      <c r="J121" s="29">
        <f t="shared" si="55"/>
        <v>7666.666666666667</v>
      </c>
      <c r="K121" s="42">
        <f t="shared" si="56"/>
        <v>-3887.7246783959363</v>
      </c>
      <c r="L121" s="33">
        <f t="shared" si="2"/>
        <v>0</v>
      </c>
      <c r="M121" s="196">
        <f t="shared" si="63"/>
        <v>7736.2253321882663</v>
      </c>
      <c r="N121" s="29">
        <f t="shared" si="58"/>
        <v>7666.666666666667</v>
      </c>
      <c r="O121" s="30">
        <f t="shared" si="52"/>
        <v>69.558665521599323</v>
      </c>
      <c r="P121" s="43"/>
      <c r="Q121" s="44"/>
      <c r="R121" s="33"/>
      <c r="V121" s="45"/>
      <c r="W121" s="7"/>
      <c r="X121" s="7"/>
      <c r="Y121" s="46"/>
      <c r="Z121" s="7">
        <f t="shared" si="64"/>
        <v>20646.601543464865</v>
      </c>
      <c r="AA121" s="7"/>
      <c r="AC121" s="7"/>
    </row>
    <row r="122" spans="1:29">
      <c r="A122" s="18">
        <v>45158</v>
      </c>
      <c r="B122" s="37">
        <f t="shared" si="1"/>
        <v>-59805.555555555555</v>
      </c>
      <c r="C122" s="29">
        <v>-40000</v>
      </c>
      <c r="D122" s="29">
        <f t="shared" ref="D122" si="79">-I120*O$4*(A122-A120)/360</f>
        <v>-19805.555555555555</v>
      </c>
      <c r="E122" s="38"/>
      <c r="F122" s="39"/>
      <c r="G122" s="47"/>
      <c r="H122" s="24">
        <f t="shared" si="3"/>
        <v>876356.24720511504</v>
      </c>
      <c r="I122" s="41">
        <f t="shared" si="54"/>
        <v>880000</v>
      </c>
      <c r="J122" s="29">
        <f t="shared" si="55"/>
        <v>0</v>
      </c>
      <c r="K122" s="42">
        <f t="shared" si="56"/>
        <v>-3643.7527948849838</v>
      </c>
      <c r="L122" s="33">
        <f t="shared" si="2"/>
        <v>0</v>
      </c>
      <c r="M122" s="196">
        <f t="shared" si="62"/>
        <v>12382.860772399841</v>
      </c>
      <c r="N122" s="29">
        <f t="shared" si="57"/>
        <v>12138.888888888889</v>
      </c>
      <c r="O122" s="30">
        <f t="shared" si="52"/>
        <v>243.97188351095247</v>
      </c>
      <c r="P122" s="43"/>
      <c r="Q122" s="44"/>
      <c r="R122" s="33"/>
      <c r="V122" s="45"/>
      <c r="W122" s="7"/>
      <c r="X122" s="7"/>
      <c r="Y122" s="46"/>
      <c r="Z122" s="7"/>
      <c r="AA122" s="7"/>
      <c r="AC122" s="7"/>
    </row>
    <row r="123" spans="1:29">
      <c r="A123" s="18">
        <v>45169</v>
      </c>
      <c r="B123" s="37">
        <f t="shared" si="1"/>
        <v>0</v>
      </c>
      <c r="C123" s="29"/>
      <c r="D123" s="29">
        <v>0</v>
      </c>
      <c r="E123" s="38"/>
      <c r="F123" s="39"/>
      <c r="G123" s="47"/>
      <c r="H123" s="24">
        <f t="shared" si="3"/>
        <v>883757.30970621563</v>
      </c>
      <c r="I123" s="41">
        <f t="shared" si="54"/>
        <v>880000</v>
      </c>
      <c r="J123" s="29">
        <f t="shared" si="55"/>
        <v>7333.333333333333</v>
      </c>
      <c r="K123" s="42">
        <f t="shared" si="56"/>
        <v>-3576.0236271177173</v>
      </c>
      <c r="L123" s="33">
        <f t="shared" si="2"/>
        <v>0</v>
      </c>
      <c r="M123" s="196">
        <f t="shared" si="63"/>
        <v>7401.0625011005995</v>
      </c>
      <c r="N123" s="29">
        <f t="shared" si="58"/>
        <v>7333.333333333333</v>
      </c>
      <c r="O123" s="30">
        <f t="shared" si="52"/>
        <v>67.729167767266517</v>
      </c>
      <c r="P123" s="43"/>
      <c r="Q123" s="44"/>
      <c r="R123" s="33"/>
      <c r="V123" s="45"/>
      <c r="W123" s="7"/>
      <c r="X123" s="7"/>
      <c r="Y123" s="46"/>
      <c r="Z123" s="7">
        <f t="shared" si="64"/>
        <v>19783.923273500441</v>
      </c>
      <c r="AA123" s="7"/>
      <c r="AC123" s="7"/>
    </row>
    <row r="124" spans="1:29">
      <c r="A124" s="18">
        <v>45189</v>
      </c>
      <c r="B124" s="37">
        <f t="shared" si="1"/>
        <v>-58944.444444444445</v>
      </c>
      <c r="C124" s="29">
        <v>-40000</v>
      </c>
      <c r="D124" s="29">
        <f t="shared" ref="D124" si="80">-I122*O$4*(A124-A122)/360</f>
        <v>-18944.444444444445</v>
      </c>
      <c r="E124" s="38"/>
      <c r="F124" s="39"/>
      <c r="G124" s="47"/>
      <c r="H124" s="24">
        <f t="shared" si="3"/>
        <v>836659.25320727786</v>
      </c>
      <c r="I124" s="41">
        <f t="shared" si="54"/>
        <v>840000</v>
      </c>
      <c r="J124" s="29">
        <f t="shared" si="55"/>
        <v>0</v>
      </c>
      <c r="K124" s="42">
        <f t="shared" si="56"/>
        <v>-3340.7467927222015</v>
      </c>
      <c r="L124" s="33">
        <f t="shared" si="2"/>
        <v>0</v>
      </c>
      <c r="M124" s="196">
        <f t="shared" si="62"/>
        <v>11846.387945506627</v>
      </c>
      <c r="N124" s="29">
        <f t="shared" si="57"/>
        <v>11611.111111111111</v>
      </c>
      <c r="O124" s="30">
        <f t="shared" si="52"/>
        <v>235.27683439551583</v>
      </c>
      <c r="P124" s="43"/>
      <c r="Q124" s="44"/>
      <c r="R124" s="33"/>
      <c r="V124" s="45"/>
      <c r="W124" s="7"/>
      <c r="X124" s="7"/>
      <c r="Y124" s="46"/>
      <c r="Z124" s="7"/>
      <c r="AA124" s="7"/>
      <c r="AC124" s="7"/>
    </row>
    <row r="125" spans="1:29">
      <c r="A125" s="18">
        <v>45199</v>
      </c>
      <c r="B125" s="37">
        <f t="shared" si="1"/>
        <v>0</v>
      </c>
      <c r="C125" s="29"/>
      <c r="D125" s="29">
        <v>0</v>
      </c>
      <c r="E125" s="38"/>
      <c r="F125" s="39"/>
      <c r="G125" s="47"/>
      <c r="H125" s="24">
        <f t="shared" si="3"/>
        <v>843133.97418532229</v>
      </c>
      <c r="I125" s="41">
        <f t="shared" si="54"/>
        <v>840000</v>
      </c>
      <c r="J125" s="29">
        <f t="shared" si="55"/>
        <v>6416.666666666667</v>
      </c>
      <c r="K125" s="42">
        <f t="shared" si="56"/>
        <v>-3282.692481344372</v>
      </c>
      <c r="L125" s="33">
        <f t="shared" si="2"/>
        <v>0</v>
      </c>
      <c r="M125" s="196">
        <f t="shared" si="63"/>
        <v>6474.7209780444964</v>
      </c>
      <c r="N125" s="29">
        <f t="shared" si="58"/>
        <v>6416.666666666667</v>
      </c>
      <c r="O125" s="30">
        <f t="shared" si="52"/>
        <v>58.054311377829436</v>
      </c>
      <c r="P125" s="43"/>
      <c r="Q125" s="44"/>
      <c r="R125" s="33"/>
      <c r="V125" s="45"/>
      <c r="W125" s="7"/>
      <c r="X125" s="7"/>
      <c r="Y125" s="46"/>
      <c r="Z125" s="7">
        <f t="shared" si="64"/>
        <v>18321.108923551124</v>
      </c>
      <c r="AA125" s="7"/>
      <c r="AC125" s="7"/>
    </row>
    <row r="126" spans="1:29">
      <c r="A126" s="18">
        <v>45219</v>
      </c>
      <c r="B126" s="37">
        <f t="shared" si="1"/>
        <v>-57500</v>
      </c>
      <c r="C126" s="29">
        <v>-40000</v>
      </c>
      <c r="D126" s="29">
        <f t="shared" ref="D126" si="81">-I124*O$4*(A126-A124)/360</f>
        <v>-17500</v>
      </c>
      <c r="E126" s="38"/>
      <c r="F126" s="39"/>
      <c r="G126" s="47"/>
      <c r="H126" s="24">
        <f t="shared" si="3"/>
        <v>796935.82372991776</v>
      </c>
      <c r="I126" s="41">
        <f t="shared" si="54"/>
        <v>800000</v>
      </c>
      <c r="J126" s="29">
        <f t="shared" si="55"/>
        <v>0</v>
      </c>
      <c r="K126" s="42">
        <f t="shared" si="56"/>
        <v>-3064.1762700822519</v>
      </c>
      <c r="L126" s="33">
        <f t="shared" si="2"/>
        <v>0</v>
      </c>
      <c r="M126" s="196">
        <f t="shared" si="62"/>
        <v>11301.849544595454</v>
      </c>
      <c r="N126" s="29">
        <f t="shared" si="57"/>
        <v>11083.333333333334</v>
      </c>
      <c r="O126" s="30">
        <f t="shared" si="52"/>
        <v>218.51621126212012</v>
      </c>
      <c r="P126" s="43"/>
      <c r="Q126" s="44"/>
      <c r="R126" s="33"/>
      <c r="V126" s="45"/>
      <c r="W126" s="7"/>
      <c r="X126" s="7"/>
      <c r="Y126" s="46"/>
      <c r="Z126" s="7"/>
      <c r="AA126" s="7"/>
      <c r="AC126" s="7"/>
    </row>
    <row r="127" spans="1:29">
      <c r="A127" s="18">
        <v>45230</v>
      </c>
      <c r="B127" s="37">
        <f t="shared" si="1"/>
        <v>0</v>
      </c>
      <c r="C127" s="29"/>
      <c r="D127" s="29">
        <v>0</v>
      </c>
      <c r="E127" s="38"/>
      <c r="F127" s="39"/>
      <c r="G127" s="47"/>
      <c r="H127" s="24">
        <f t="shared" si="3"/>
        <v>803666.15954894305</v>
      </c>
      <c r="I127" s="41">
        <f t="shared" si="54"/>
        <v>800000</v>
      </c>
      <c r="J127" s="29">
        <f t="shared" si="55"/>
        <v>6666.666666666667</v>
      </c>
      <c r="K127" s="42">
        <f t="shared" si="56"/>
        <v>-3000.5071177235786</v>
      </c>
      <c r="L127" s="33">
        <f t="shared" si="2"/>
        <v>0</v>
      </c>
      <c r="M127" s="196">
        <f t="shared" si="63"/>
        <v>6730.3358190253402</v>
      </c>
      <c r="N127" s="29">
        <f t="shared" si="58"/>
        <v>6666.666666666667</v>
      </c>
      <c r="O127" s="30">
        <f t="shared" si="52"/>
        <v>63.669152358673273</v>
      </c>
      <c r="P127" s="43"/>
      <c r="Q127" s="44"/>
      <c r="R127" s="33"/>
      <c r="V127" s="45"/>
      <c r="W127" s="7"/>
      <c r="X127" s="7"/>
      <c r="Y127" s="46"/>
      <c r="Z127" s="7">
        <f t="shared" si="64"/>
        <v>18032.185363620796</v>
      </c>
      <c r="AA127" s="7"/>
      <c r="AC127" s="7"/>
    </row>
    <row r="128" spans="1:29">
      <c r="A128" s="18">
        <v>45250</v>
      </c>
      <c r="B128" s="37">
        <f t="shared" si="1"/>
        <v>-57222.222222222219</v>
      </c>
      <c r="C128" s="29">
        <v>-40000</v>
      </c>
      <c r="D128" s="29">
        <f t="shared" ref="D128" si="82">-I126*O$4*(A128-A126)/360</f>
        <v>-17222.222222222223</v>
      </c>
      <c r="E128" s="38"/>
      <c r="F128" s="39"/>
      <c r="G128" s="47"/>
      <c r="H128" s="24">
        <f t="shared" si="3"/>
        <v>757216.73773258913</v>
      </c>
      <c r="I128" s="41">
        <f t="shared" si="54"/>
        <v>760000</v>
      </c>
      <c r="J128" s="29">
        <f t="shared" si="55"/>
        <v>0</v>
      </c>
      <c r="K128" s="42">
        <f t="shared" si="56"/>
        <v>-2783.2622674108243</v>
      </c>
      <c r="L128" s="33">
        <f t="shared" si="2"/>
        <v>0</v>
      </c>
      <c r="M128" s="196">
        <f t="shared" si="62"/>
        <v>10772.800405868309</v>
      </c>
      <c r="N128" s="29">
        <f t="shared" si="57"/>
        <v>10555.555555555555</v>
      </c>
      <c r="O128" s="30">
        <f t="shared" si="52"/>
        <v>217.24485031275435</v>
      </c>
      <c r="P128" s="43"/>
      <c r="Q128" s="44"/>
      <c r="R128" s="33"/>
      <c r="V128" s="45"/>
      <c r="W128" s="7"/>
      <c r="X128" s="7"/>
      <c r="Y128" s="46"/>
      <c r="Z128" s="7"/>
      <c r="AA128" s="7"/>
      <c r="AC128" s="7"/>
    </row>
    <row r="129" spans="1:29">
      <c r="A129" s="18">
        <v>45260</v>
      </c>
      <c r="B129" s="37">
        <f t="shared" si="1"/>
        <v>0</v>
      </c>
      <c r="C129" s="29"/>
      <c r="D129" s="29">
        <v>0</v>
      </c>
      <c r="E129" s="38"/>
      <c r="F129" s="39"/>
      <c r="G129" s="47"/>
      <c r="H129" s="24">
        <f t="shared" si="3"/>
        <v>763076.67064784607</v>
      </c>
      <c r="I129" s="41">
        <f t="shared" si="54"/>
        <v>760000</v>
      </c>
      <c r="J129" s="29">
        <f t="shared" si="55"/>
        <v>5805.5555555555557</v>
      </c>
      <c r="K129" s="42">
        <f t="shared" si="56"/>
        <v>-2728.8849077094465</v>
      </c>
      <c r="L129" s="33">
        <f t="shared" si="2"/>
        <v>0</v>
      </c>
      <c r="M129" s="196">
        <f t="shared" si="63"/>
        <v>5859.9329152569335</v>
      </c>
      <c r="N129" s="29">
        <f t="shared" si="58"/>
        <v>5805.5555555555557</v>
      </c>
      <c r="O129" s="30">
        <f t="shared" si="52"/>
        <v>54.377359701377827</v>
      </c>
      <c r="P129" s="43"/>
      <c r="Q129" s="44"/>
      <c r="R129" s="33"/>
      <c r="V129" s="45"/>
      <c r="W129" s="7"/>
      <c r="X129" s="7"/>
      <c r="Y129" s="46"/>
      <c r="Z129" s="7">
        <f t="shared" si="64"/>
        <v>16632.733321125241</v>
      </c>
      <c r="AA129" s="7"/>
      <c r="AC129" s="7"/>
    </row>
    <row r="130" spans="1:29">
      <c r="A130" s="18">
        <v>45280</v>
      </c>
      <c r="B130" s="37">
        <f t="shared" si="1"/>
        <v>-55833.333333333336</v>
      </c>
      <c r="C130" s="29">
        <v>-40000</v>
      </c>
      <c r="D130" s="29">
        <f t="shared" ref="D130" si="83">-I128*O$4*(A130-A128)/360</f>
        <v>-15833.333333333334</v>
      </c>
      <c r="E130" s="38"/>
      <c r="F130" s="39"/>
      <c r="G130" s="47"/>
      <c r="H130" s="24">
        <f t="shared" si="3"/>
        <v>717472.05301890115</v>
      </c>
      <c r="I130" s="41">
        <f t="shared" si="54"/>
        <v>720000</v>
      </c>
      <c r="J130" s="29">
        <f t="shared" si="55"/>
        <v>0</v>
      </c>
      <c r="K130" s="42">
        <f t="shared" si="56"/>
        <v>-2527.9469810988658</v>
      </c>
      <c r="L130" s="33">
        <f t="shared" si="2"/>
        <v>0</v>
      </c>
      <c r="M130" s="196">
        <f t="shared" si="62"/>
        <v>10228.715704388358</v>
      </c>
      <c r="N130" s="29">
        <f t="shared" si="57"/>
        <v>10027.777777777777</v>
      </c>
      <c r="O130" s="30">
        <f t="shared" si="52"/>
        <v>200.93792661058069</v>
      </c>
      <c r="P130" s="43"/>
      <c r="Q130" s="44"/>
      <c r="R130" s="33"/>
      <c r="V130" s="45"/>
      <c r="W130" s="7"/>
      <c r="X130" s="7"/>
      <c r="Y130" s="46"/>
      <c r="Z130" s="7"/>
      <c r="AA130" s="7"/>
      <c r="AC130" s="7"/>
    </row>
    <row r="131" spans="1:29">
      <c r="A131" s="18">
        <v>45291</v>
      </c>
      <c r="B131" s="37">
        <f t="shared" si="1"/>
        <v>0</v>
      </c>
      <c r="C131" s="29"/>
      <c r="D131" s="29">
        <v>0</v>
      </c>
      <c r="E131" s="38"/>
      <c r="F131" s="39"/>
      <c r="G131" s="47"/>
      <c r="H131" s="24">
        <f t="shared" si="3"/>
        <v>723531.29607687064</v>
      </c>
      <c r="I131" s="41">
        <f t="shared" si="54"/>
        <v>720000</v>
      </c>
      <c r="J131" s="29">
        <f t="shared" si="55"/>
        <v>6000</v>
      </c>
      <c r="K131" s="42">
        <f t="shared" si="56"/>
        <v>-2468.7039231293038</v>
      </c>
      <c r="L131" s="33">
        <f t="shared" si="2"/>
        <v>0</v>
      </c>
      <c r="M131" s="196">
        <f t="shared" si="63"/>
        <v>6059.243057969562</v>
      </c>
      <c r="N131" s="29">
        <f t="shared" si="58"/>
        <v>6000</v>
      </c>
      <c r="O131" s="30">
        <f t="shared" si="52"/>
        <v>59.24305796956196</v>
      </c>
      <c r="P131" s="43"/>
      <c r="Q131" s="44"/>
      <c r="R131" s="33"/>
      <c r="V131" s="45"/>
      <c r="W131" s="7"/>
      <c r="X131" s="7"/>
      <c r="Y131" s="46"/>
      <c r="Z131" s="7">
        <f t="shared" si="64"/>
        <v>16287.958762357921</v>
      </c>
      <c r="AA131" s="7"/>
      <c r="AC131" s="7"/>
    </row>
    <row r="132" spans="1:29">
      <c r="A132" s="18">
        <v>45311</v>
      </c>
      <c r="B132" s="37">
        <f t="shared" si="1"/>
        <v>-55500</v>
      </c>
      <c r="C132" s="29">
        <v>-40000</v>
      </c>
      <c r="D132" s="29">
        <f t="shared" ref="D132" si="84">-I130*O$4*(A132-A130)/360</f>
        <v>-15500</v>
      </c>
      <c r="E132" s="38"/>
      <c r="F132" s="39"/>
      <c r="G132" s="47"/>
      <c r="H132" s="24">
        <f t="shared" si="3"/>
        <v>677729.92298485199</v>
      </c>
      <c r="I132" s="41">
        <f t="shared" si="54"/>
        <v>680000</v>
      </c>
      <c r="J132" s="29">
        <f t="shared" si="55"/>
        <v>0</v>
      </c>
      <c r="K132" s="42">
        <f t="shared" si="56"/>
        <v>-2270.0770151480483</v>
      </c>
      <c r="L132" s="33">
        <f t="shared" si="2"/>
        <v>0</v>
      </c>
      <c r="M132" s="196">
        <f t="shared" si="62"/>
        <v>9698.6269079812555</v>
      </c>
      <c r="N132" s="29">
        <f t="shared" si="57"/>
        <v>9500</v>
      </c>
      <c r="O132" s="30">
        <f t="shared" si="52"/>
        <v>198.6269079812555</v>
      </c>
      <c r="P132" s="43"/>
      <c r="Q132" s="44"/>
      <c r="R132" s="33"/>
      <c r="V132" s="45"/>
      <c r="W132" s="7"/>
      <c r="X132" s="7"/>
      <c r="Y132" s="46"/>
      <c r="Z132" s="7"/>
      <c r="AA132" s="7"/>
      <c r="AC132" s="7"/>
    </row>
    <row r="133" spans="1:29">
      <c r="A133" s="18">
        <v>45322</v>
      </c>
      <c r="B133" s="37">
        <f t="shared" si="1"/>
        <v>0</v>
      </c>
      <c r="C133" s="29"/>
      <c r="D133" s="29">
        <v>0</v>
      </c>
      <c r="E133" s="38"/>
      <c r="F133" s="39"/>
      <c r="G133" s="47"/>
      <c r="H133" s="24">
        <f t="shared" si="3"/>
        <v>683453.53314324794</v>
      </c>
      <c r="I133" s="41">
        <f t="shared" si="54"/>
        <v>680000</v>
      </c>
      <c r="J133" s="29">
        <f t="shared" si="55"/>
        <v>5666.666666666667</v>
      </c>
      <c r="K133" s="42">
        <f t="shared" si="56"/>
        <v>-2213.1335234187236</v>
      </c>
      <c r="L133" s="33">
        <f t="shared" si="2"/>
        <v>0</v>
      </c>
      <c r="M133" s="196">
        <f t="shared" si="63"/>
        <v>5723.6101583959917</v>
      </c>
      <c r="N133" s="29">
        <f t="shared" si="58"/>
        <v>5666.666666666667</v>
      </c>
      <c r="O133" s="30">
        <f t="shared" si="52"/>
        <v>56.943491729324705</v>
      </c>
      <c r="P133" s="43"/>
      <c r="Q133" s="44"/>
      <c r="R133" s="33"/>
      <c r="V133" s="45"/>
      <c r="W133" s="7"/>
      <c r="X133" s="7"/>
      <c r="Y133" s="46"/>
      <c r="Z133" s="7">
        <f t="shared" si="64"/>
        <v>15422.237066377247</v>
      </c>
      <c r="AA133" s="7"/>
      <c r="AC133" s="7"/>
    </row>
    <row r="134" spans="1:29">
      <c r="A134" s="18">
        <v>45342</v>
      </c>
      <c r="B134" s="37">
        <f t="shared" si="1"/>
        <v>-54638.888888888891</v>
      </c>
      <c r="C134" s="29">
        <v>-40000</v>
      </c>
      <c r="D134" s="29">
        <f t="shared" ref="D134" si="85">-I132*O$4*(A134-A132)/360</f>
        <v>-14638.888888888889</v>
      </c>
      <c r="E134" s="38"/>
      <c r="F134" s="39"/>
      <c r="G134" s="47"/>
      <c r="H134" s="24">
        <f t="shared" si="3"/>
        <v>637976.0459281212</v>
      </c>
      <c r="I134" s="41">
        <f t="shared" si="54"/>
        <v>640000</v>
      </c>
      <c r="J134" s="29">
        <f t="shared" si="55"/>
        <v>0</v>
      </c>
      <c r="K134" s="42">
        <f t="shared" si="56"/>
        <v>-2023.9540718787657</v>
      </c>
      <c r="L134" s="33">
        <f t="shared" si="2"/>
        <v>0</v>
      </c>
      <c r="M134" s="196">
        <f t="shared" si="62"/>
        <v>9161.4016737621805</v>
      </c>
      <c r="N134" s="29">
        <f t="shared" si="57"/>
        <v>8972.2222222222226</v>
      </c>
      <c r="O134" s="30">
        <f t="shared" si="52"/>
        <v>189.17945153995788</v>
      </c>
      <c r="P134" s="43"/>
      <c r="Q134" s="44"/>
      <c r="R134" s="33"/>
      <c r="V134" s="45"/>
      <c r="W134" s="7"/>
      <c r="X134" s="7"/>
      <c r="Y134" s="46"/>
      <c r="Z134" s="7"/>
      <c r="AA134" s="7"/>
      <c r="AC134" s="7"/>
    </row>
    <row r="135" spans="1:29">
      <c r="A135" s="18">
        <v>45351</v>
      </c>
      <c r="B135" s="37">
        <f t="shared" si="1"/>
        <v>0</v>
      </c>
      <c r="C135" s="29"/>
      <c r="D135" s="29">
        <v>0</v>
      </c>
      <c r="E135" s="38"/>
      <c r="F135" s="39"/>
      <c r="G135" s="47"/>
      <c r="H135" s="24">
        <f t="shared" si="3"/>
        <v>642462.79476960166</v>
      </c>
      <c r="I135" s="41">
        <f t="shared" si="54"/>
        <v>640000</v>
      </c>
      <c r="J135" s="29">
        <f t="shared" si="55"/>
        <v>4444.4444444444443</v>
      </c>
      <c r="K135" s="42">
        <f t="shared" si="56"/>
        <v>-1981.6496748428899</v>
      </c>
      <c r="L135" s="33">
        <f t="shared" si="2"/>
        <v>0</v>
      </c>
      <c r="M135" s="196">
        <f t="shared" si="63"/>
        <v>4486.7488414803202</v>
      </c>
      <c r="N135" s="29">
        <f t="shared" si="58"/>
        <v>4444.4444444444443</v>
      </c>
      <c r="O135" s="30">
        <f t="shared" si="52"/>
        <v>42.304397035875809</v>
      </c>
      <c r="P135" s="43"/>
      <c r="Q135" s="44"/>
      <c r="R135" s="33"/>
      <c r="V135" s="45"/>
      <c r="W135" s="7"/>
      <c r="X135" s="7"/>
      <c r="Y135" s="46"/>
      <c r="Z135" s="7">
        <f t="shared" si="64"/>
        <v>13648.150515242502</v>
      </c>
      <c r="AA135" s="7"/>
      <c r="AC135" s="7"/>
    </row>
    <row r="136" spans="1:29">
      <c r="A136" s="18">
        <v>45371</v>
      </c>
      <c r="B136" s="37">
        <f t="shared" si="1"/>
        <v>-52888.888888888891</v>
      </c>
      <c r="C136" s="29">
        <v>-40000</v>
      </c>
      <c r="D136" s="29">
        <f t="shared" ref="D136" si="86">-I134*O$4*(A136-A134)/360</f>
        <v>-12888.888888888889</v>
      </c>
      <c r="E136" s="38"/>
      <c r="F136" s="39"/>
      <c r="G136" s="47"/>
      <c r="H136" s="24">
        <f t="shared" si="3"/>
        <v>598185.84427579667</v>
      </c>
      <c r="I136" s="41">
        <f t="shared" si="54"/>
        <v>600000</v>
      </c>
      <c r="J136" s="29">
        <f t="shared" si="55"/>
        <v>0</v>
      </c>
      <c r="K136" s="42">
        <f t="shared" si="56"/>
        <v>-1814.1557242033277</v>
      </c>
      <c r="L136" s="33">
        <f t="shared" si="2"/>
        <v>0</v>
      </c>
      <c r="M136" s="196">
        <f t="shared" si="62"/>
        <v>8611.9383950840074</v>
      </c>
      <c r="N136" s="29">
        <f t="shared" si="57"/>
        <v>8444.4444444444453</v>
      </c>
      <c r="O136" s="30">
        <f t="shared" si="52"/>
        <v>167.49395063956217</v>
      </c>
      <c r="P136" s="43"/>
      <c r="Q136" s="44"/>
      <c r="R136" s="33"/>
      <c r="V136" s="45"/>
      <c r="W136" s="7"/>
      <c r="X136" s="7"/>
      <c r="Y136" s="46"/>
      <c r="Z136" s="7"/>
      <c r="AA136" s="7"/>
      <c r="AC136" s="7"/>
    </row>
    <row r="137" spans="1:29">
      <c r="A137" s="18">
        <v>45382</v>
      </c>
      <c r="B137" s="37">
        <f t="shared" si="1"/>
        <v>0</v>
      </c>
      <c r="C137" s="29"/>
      <c r="D137" s="29">
        <v>0</v>
      </c>
      <c r="E137" s="38"/>
      <c r="F137" s="39"/>
      <c r="G137" s="47"/>
      <c r="H137" s="24">
        <f t="shared" si="3"/>
        <v>603237.68345065066</v>
      </c>
      <c r="I137" s="41">
        <f t="shared" si="54"/>
        <v>600000</v>
      </c>
      <c r="J137" s="29">
        <f t="shared" si="55"/>
        <v>5000</v>
      </c>
      <c r="K137" s="42">
        <f t="shared" si="56"/>
        <v>-1762.3165493493671</v>
      </c>
      <c r="L137" s="33">
        <f t="shared" si="2"/>
        <v>0</v>
      </c>
      <c r="M137" s="196">
        <f t="shared" si="63"/>
        <v>5051.8391748539607</v>
      </c>
      <c r="N137" s="29">
        <f t="shared" si="58"/>
        <v>5000</v>
      </c>
      <c r="O137" s="30">
        <f t="shared" si="52"/>
        <v>51.839174853960685</v>
      </c>
      <c r="P137" s="43"/>
      <c r="Q137" s="44"/>
      <c r="R137" s="33"/>
      <c r="V137" s="45"/>
      <c r="W137" s="7"/>
      <c r="X137" s="7"/>
      <c r="Y137" s="46"/>
      <c r="Z137" s="7">
        <f t="shared" si="64"/>
        <v>13663.777569937967</v>
      </c>
      <c r="AA137" s="7"/>
      <c r="AC137" s="7"/>
    </row>
    <row r="138" spans="1:29">
      <c r="A138" s="18">
        <v>45402</v>
      </c>
      <c r="B138" s="37">
        <f t="shared" si="1"/>
        <v>-52916.666666666664</v>
      </c>
      <c r="C138" s="29">
        <v>-40000</v>
      </c>
      <c r="D138" s="29">
        <f t="shared" ref="D138" si="87">-I136*O$4*(A138-A136)/360</f>
        <v>-12916.666666666666</v>
      </c>
      <c r="E138" s="38"/>
      <c r="F138" s="39"/>
      <c r="G138" s="47"/>
      <c r="H138" s="24">
        <f t="shared" si="3"/>
        <v>558407.15937428479</v>
      </c>
      <c r="I138" s="41">
        <f t="shared" si="54"/>
        <v>560000</v>
      </c>
      <c r="J138" s="29">
        <f t="shared" si="55"/>
        <v>0</v>
      </c>
      <c r="K138" s="42">
        <f t="shared" si="56"/>
        <v>-1592.8406257151828</v>
      </c>
      <c r="L138" s="33">
        <f t="shared" si="2"/>
        <v>0</v>
      </c>
      <c r="M138" s="196">
        <f t="shared" si="62"/>
        <v>8086.1425903008512</v>
      </c>
      <c r="N138" s="29">
        <f t="shared" si="57"/>
        <v>7916.666666666667</v>
      </c>
      <c r="O138" s="30">
        <f t="shared" si="52"/>
        <v>169.47592363418426</v>
      </c>
      <c r="P138" s="43"/>
      <c r="Q138" s="44"/>
      <c r="R138" s="33"/>
      <c r="V138" s="45"/>
      <c r="W138" s="7"/>
      <c r="X138" s="7"/>
      <c r="Y138" s="46"/>
      <c r="Z138" s="7"/>
      <c r="AA138" s="7"/>
      <c r="AC138" s="7"/>
    </row>
    <row r="139" spans="1:29">
      <c r="A139" s="18">
        <v>45412</v>
      </c>
      <c r="B139" s="37">
        <f t="shared" si="1"/>
        <v>0</v>
      </c>
      <c r="C139" s="29"/>
      <c r="D139" s="29">
        <v>0</v>
      </c>
      <c r="E139" s="38"/>
      <c r="F139" s="39"/>
      <c r="G139" s="47"/>
      <c r="H139" s="24">
        <f t="shared" si="3"/>
        <v>562728.54891875107</v>
      </c>
      <c r="I139" s="41">
        <f t="shared" si="54"/>
        <v>560000</v>
      </c>
      <c r="J139" s="29">
        <f t="shared" si="55"/>
        <v>4277.7777777777774</v>
      </c>
      <c r="K139" s="42">
        <f t="shared" si="56"/>
        <v>-1549.2288590266544</v>
      </c>
      <c r="L139" s="33">
        <f t="shared" si="2"/>
        <v>0</v>
      </c>
      <c r="M139" s="196">
        <f t="shared" si="63"/>
        <v>4321.3895444663058</v>
      </c>
      <c r="N139" s="29">
        <f t="shared" si="58"/>
        <v>4277.7777777777774</v>
      </c>
      <c r="O139" s="30">
        <f t="shared" si="52"/>
        <v>43.611766688528405</v>
      </c>
      <c r="P139" s="43"/>
      <c r="Q139" s="44"/>
      <c r="R139" s="33"/>
      <c r="V139" s="45"/>
      <c r="W139" s="7"/>
      <c r="X139" s="7"/>
      <c r="Y139" s="46"/>
      <c r="Z139" s="7">
        <f t="shared" si="64"/>
        <v>12407.532134767156</v>
      </c>
      <c r="AA139" s="7"/>
      <c r="AC139" s="7"/>
    </row>
    <row r="140" spans="1:29">
      <c r="A140" s="18">
        <v>45432</v>
      </c>
      <c r="B140" s="37">
        <f t="shared" si="1"/>
        <v>-51666.666666666664</v>
      </c>
      <c r="C140" s="29">
        <v>-40000</v>
      </c>
      <c r="D140" s="29">
        <f t="shared" ref="D140" si="88">-I138*O$4*(A140-A138)/360</f>
        <v>-11666.666666666666</v>
      </c>
      <c r="E140" s="38"/>
      <c r="F140" s="39"/>
      <c r="G140" s="47"/>
      <c r="H140" s="24">
        <f t="shared" si="3"/>
        <v>518605.01725678344</v>
      </c>
      <c r="I140" s="41">
        <f t="shared" si="54"/>
        <v>520000</v>
      </c>
      <c r="J140" s="29">
        <f t="shared" si="55"/>
        <v>0</v>
      </c>
      <c r="K140" s="42">
        <f t="shared" si="56"/>
        <v>-1394.9827432165903</v>
      </c>
      <c r="L140" s="33">
        <f t="shared" si="2"/>
        <v>0</v>
      </c>
      <c r="M140" s="196">
        <f t="shared" si="62"/>
        <v>7543.1350046989528</v>
      </c>
      <c r="N140" s="29">
        <f t="shared" si="57"/>
        <v>7388.8888888888887</v>
      </c>
      <c r="O140" s="30">
        <f t="shared" si="52"/>
        <v>154.24611581006411</v>
      </c>
      <c r="P140" s="43"/>
      <c r="Q140" s="44"/>
      <c r="R140" s="33"/>
      <c r="V140" s="45"/>
      <c r="W140" s="7"/>
      <c r="X140" s="7"/>
      <c r="Y140" s="46"/>
      <c r="Z140" s="7"/>
      <c r="AA140" s="7"/>
      <c r="AC140" s="7"/>
    </row>
    <row r="141" spans="1:29">
      <c r="A141" s="18">
        <v>45443</v>
      </c>
      <c r="B141" s="37">
        <f t="shared" si="1"/>
        <v>0</v>
      </c>
      <c r="C141" s="29"/>
      <c r="D141" s="29">
        <v>0</v>
      </c>
      <c r="E141" s="38"/>
      <c r="F141" s="39"/>
      <c r="G141" s="47"/>
      <c r="H141" s="24">
        <f t="shared" si="3"/>
        <v>522984.77509880572</v>
      </c>
      <c r="I141" s="41">
        <f t="shared" si="54"/>
        <v>520000</v>
      </c>
      <c r="J141" s="29">
        <f t="shared" si="55"/>
        <v>4333.333333333333</v>
      </c>
      <c r="K141" s="42">
        <f t="shared" si="56"/>
        <v>-1348.5582345276534</v>
      </c>
      <c r="L141" s="33">
        <f t="shared" si="2"/>
        <v>0</v>
      </c>
      <c r="M141" s="196">
        <f t="shared" si="63"/>
        <v>4379.7578420222699</v>
      </c>
      <c r="N141" s="29">
        <f t="shared" si="58"/>
        <v>4333.333333333333</v>
      </c>
      <c r="O141" s="30">
        <f t="shared" si="52"/>
        <v>46.424508688936839</v>
      </c>
      <c r="P141" s="43"/>
      <c r="Q141" s="44"/>
      <c r="R141" s="33"/>
      <c r="V141" s="45"/>
      <c r="W141" s="7"/>
      <c r="X141" s="7"/>
      <c r="Y141" s="46"/>
      <c r="Z141" s="7">
        <f t="shared" si="64"/>
        <v>11922.892846721223</v>
      </c>
      <c r="AA141" s="7"/>
      <c r="AC141" s="7"/>
    </row>
    <row r="142" spans="1:29">
      <c r="A142" s="18">
        <v>45463</v>
      </c>
      <c r="B142" s="37">
        <f t="shared" si="1"/>
        <v>-51194.444444444445</v>
      </c>
      <c r="C142" s="29">
        <v>-40000</v>
      </c>
      <c r="D142" s="29">
        <f t="shared" ref="D142" si="89">-I140*O$4*(A142-A140)/360</f>
        <v>-11194.444444444445</v>
      </c>
      <c r="E142" s="38"/>
      <c r="F142" s="39"/>
      <c r="G142" s="47"/>
      <c r="H142" s="24">
        <f t="shared" si="3"/>
        <v>478800.7174057574</v>
      </c>
      <c r="I142" s="41">
        <f t="shared" si="54"/>
        <v>480000</v>
      </c>
      <c r="J142" s="29">
        <f t="shared" si="55"/>
        <v>0</v>
      </c>
      <c r="K142" s="42">
        <f t="shared" si="56"/>
        <v>-1199.2825942425834</v>
      </c>
      <c r="L142" s="33">
        <f t="shared" si="2"/>
        <v>0</v>
      </c>
      <c r="M142" s="196">
        <f t="shared" si="62"/>
        <v>7010.3867513961814</v>
      </c>
      <c r="N142" s="29">
        <f t="shared" si="57"/>
        <v>6861.1111111111113</v>
      </c>
      <c r="O142" s="30">
        <f t="shared" si="52"/>
        <v>149.27564028507004</v>
      </c>
      <c r="P142" s="43"/>
      <c r="Q142" s="44"/>
      <c r="R142" s="33"/>
      <c r="V142" s="45"/>
      <c r="W142" s="7"/>
      <c r="X142" s="7"/>
      <c r="Y142" s="46"/>
      <c r="Z142" s="7"/>
      <c r="AA142" s="7"/>
      <c r="AC142" s="7"/>
    </row>
    <row r="143" spans="1:29">
      <c r="A143" s="18">
        <v>45473</v>
      </c>
      <c r="B143" s="37">
        <f t="shared" si="1"/>
        <v>0</v>
      </c>
      <c r="C143" s="29"/>
      <c r="D143" s="29">
        <v>0</v>
      </c>
      <c r="E143" s="38"/>
      <c r="F143" s="39"/>
      <c r="G143" s="47"/>
      <c r="H143" s="24">
        <f t="shared" si="3"/>
        <v>482506.05029654398</v>
      </c>
      <c r="I143" s="41">
        <f t="shared" si="54"/>
        <v>480000</v>
      </c>
      <c r="J143" s="29">
        <f t="shared" si="55"/>
        <v>3666.6666666666665</v>
      </c>
      <c r="K143" s="42">
        <f t="shared" si="56"/>
        <v>-1160.616370122732</v>
      </c>
      <c r="L143" s="33">
        <f t="shared" si="2"/>
        <v>0</v>
      </c>
      <c r="M143" s="196">
        <f t="shared" si="63"/>
        <v>3705.332890786518</v>
      </c>
      <c r="N143" s="29">
        <f t="shared" si="58"/>
        <v>3666.6666666666665</v>
      </c>
      <c r="O143" s="30">
        <f t="shared" si="52"/>
        <v>38.666224119851449</v>
      </c>
      <c r="P143" s="43"/>
      <c r="Q143" s="44"/>
      <c r="R143" s="33"/>
      <c r="V143" s="45"/>
      <c r="W143" s="7"/>
      <c r="X143" s="7"/>
      <c r="Y143" s="46"/>
      <c r="Z143" s="7">
        <f t="shared" si="64"/>
        <v>10715.719642182699</v>
      </c>
      <c r="AA143" s="7"/>
      <c r="AC143" s="7"/>
    </row>
    <row r="144" spans="1:29">
      <c r="A144" s="18">
        <v>45493</v>
      </c>
      <c r="B144" s="37">
        <f t="shared" si="1"/>
        <v>-50000</v>
      </c>
      <c r="C144" s="29">
        <v>-40000</v>
      </c>
      <c r="D144" s="29">
        <f t="shared" ref="D144" si="90">-I142*O$4*(A144-A142)/360</f>
        <v>-10000</v>
      </c>
      <c r="E144" s="38"/>
      <c r="F144" s="39"/>
      <c r="G144" s="47"/>
      <c r="H144" s="24">
        <f t="shared" si="3"/>
        <v>438973.83709172998</v>
      </c>
      <c r="I144" s="41">
        <f t="shared" si="54"/>
        <v>440000</v>
      </c>
      <c r="J144" s="29">
        <f t="shared" si="55"/>
        <v>0</v>
      </c>
      <c r="K144" s="42">
        <f t="shared" si="56"/>
        <v>-1026.1629082700342</v>
      </c>
      <c r="L144" s="33">
        <f t="shared" si="2"/>
        <v>0</v>
      </c>
      <c r="M144" s="196">
        <f t="shared" si="62"/>
        <v>6467.7867951860308</v>
      </c>
      <c r="N144" s="29">
        <f t="shared" si="57"/>
        <v>6333.333333333333</v>
      </c>
      <c r="O144" s="30">
        <f t="shared" si="52"/>
        <v>134.45346185269773</v>
      </c>
      <c r="P144" s="43"/>
      <c r="Q144" s="44"/>
      <c r="R144" s="33"/>
      <c r="V144" s="45"/>
      <c r="W144" s="7"/>
      <c r="X144" s="7"/>
      <c r="Y144" s="46"/>
      <c r="Z144" s="7"/>
      <c r="AA144" s="7"/>
      <c r="AC144" s="7"/>
    </row>
    <row r="145" spans="1:29">
      <c r="A145" s="18">
        <v>45504</v>
      </c>
      <c r="B145" s="37">
        <f t="shared" si="1"/>
        <v>0</v>
      </c>
      <c r="C145" s="29"/>
      <c r="D145" s="29">
        <v>0</v>
      </c>
      <c r="E145" s="38"/>
      <c r="F145" s="39"/>
      <c r="G145" s="47"/>
      <c r="H145" s="24">
        <f t="shared" si="3"/>
        <v>442681.08835515758</v>
      </c>
      <c r="I145" s="41">
        <f t="shared" si="54"/>
        <v>440000</v>
      </c>
      <c r="J145" s="29">
        <f t="shared" si="55"/>
        <v>3666.6666666666665</v>
      </c>
      <c r="K145" s="42">
        <f t="shared" si="56"/>
        <v>-985.57831150908532</v>
      </c>
      <c r="L145" s="33">
        <f t="shared" si="2"/>
        <v>0</v>
      </c>
      <c r="M145" s="196">
        <f t="shared" si="63"/>
        <v>3707.2512634276154</v>
      </c>
      <c r="N145" s="29">
        <f t="shared" si="58"/>
        <v>3666.6666666666665</v>
      </c>
      <c r="O145" s="30">
        <f t="shared" si="52"/>
        <v>40.584596760948898</v>
      </c>
      <c r="P145" s="43"/>
      <c r="Q145" s="44"/>
      <c r="R145" s="33"/>
      <c r="V145" s="45"/>
      <c r="W145" s="7"/>
      <c r="X145" s="7"/>
      <c r="Y145" s="46"/>
      <c r="Z145" s="7">
        <f t="shared" si="64"/>
        <v>10175.038058613645</v>
      </c>
      <c r="AA145" s="7"/>
      <c r="AC145" s="7"/>
    </row>
    <row r="146" spans="1:29">
      <c r="A146" s="18">
        <v>45524</v>
      </c>
      <c r="B146" s="37">
        <f t="shared" si="1"/>
        <v>-49472.222222222219</v>
      </c>
      <c r="C146" s="29">
        <v>-40000</v>
      </c>
      <c r="D146" s="29">
        <f t="shared" ref="D146" si="91">-I144*O$4*(A146-A144)/360</f>
        <v>-9472.2222222222226</v>
      </c>
      <c r="E146" s="38"/>
      <c r="F146" s="39"/>
      <c r="G146" s="47"/>
      <c r="H146" s="24">
        <f t="shared" si="3"/>
        <v>399142.81638284912</v>
      </c>
      <c r="I146" s="41">
        <f t="shared" si="54"/>
        <v>400000</v>
      </c>
      <c r="J146" s="29">
        <f t="shared" si="55"/>
        <v>0</v>
      </c>
      <c r="K146" s="42">
        <f t="shared" si="56"/>
        <v>-857.18361715090123</v>
      </c>
      <c r="L146" s="33">
        <f t="shared" si="2"/>
        <v>0</v>
      </c>
      <c r="M146" s="196">
        <f t="shared" si="62"/>
        <v>5933.9502499137398</v>
      </c>
      <c r="N146" s="29">
        <f t="shared" si="57"/>
        <v>5805.5555555555557</v>
      </c>
      <c r="O146" s="30">
        <f t="shared" si="52"/>
        <v>128.3946943581841</v>
      </c>
      <c r="P146" s="43"/>
      <c r="Q146" s="44"/>
      <c r="R146" s="33"/>
      <c r="V146" s="45"/>
      <c r="W146" s="7"/>
      <c r="X146" s="7"/>
      <c r="Y146" s="46"/>
      <c r="Z146" s="7"/>
      <c r="AA146" s="7"/>
      <c r="AC146" s="7"/>
    </row>
    <row r="147" spans="1:29">
      <c r="A147" s="18">
        <v>45535</v>
      </c>
      <c r="B147" s="37">
        <f t="shared" si="1"/>
        <v>0</v>
      </c>
      <c r="C147" s="29"/>
      <c r="D147" s="29">
        <v>0</v>
      </c>
      <c r="E147" s="38"/>
      <c r="F147" s="39"/>
      <c r="G147" s="47"/>
      <c r="H147" s="24">
        <f t="shared" si="3"/>
        <v>402513.68404121971</v>
      </c>
      <c r="I147" s="41">
        <f t="shared" si="54"/>
        <v>400000</v>
      </c>
      <c r="J147" s="29">
        <f t="shared" si="55"/>
        <v>3333.3333333333335</v>
      </c>
      <c r="K147" s="42">
        <f t="shared" si="56"/>
        <v>-819.64929211359595</v>
      </c>
      <c r="L147" s="33">
        <f t="shared" si="2"/>
        <v>0</v>
      </c>
      <c r="M147" s="196">
        <f t="shared" si="63"/>
        <v>3370.8676583706388</v>
      </c>
      <c r="N147" s="29">
        <f t="shared" si="58"/>
        <v>3333.3333333333335</v>
      </c>
      <c r="O147" s="30">
        <f t="shared" si="52"/>
        <v>37.53432503730528</v>
      </c>
      <c r="P147" s="43"/>
      <c r="Q147" s="44"/>
      <c r="R147" s="33"/>
      <c r="V147" s="45"/>
      <c r="W147" s="7"/>
      <c r="X147" s="7"/>
      <c r="Y147" s="46"/>
      <c r="Z147" s="7">
        <f t="shared" si="64"/>
        <v>9304.8179082843781</v>
      </c>
      <c r="AA147" s="7"/>
      <c r="AC147" s="7"/>
    </row>
    <row r="148" spans="1:29">
      <c r="A148" s="18">
        <v>45555</v>
      </c>
      <c r="B148" s="37">
        <f t="shared" si="1"/>
        <v>-48611.111111111109</v>
      </c>
      <c r="C148" s="29">
        <v>-40000</v>
      </c>
      <c r="D148" s="29">
        <f t="shared" ref="D148" si="92">-I146*O$4*(A148-A146)/360</f>
        <v>-8611.1111111111113</v>
      </c>
      <c r="E148" s="38"/>
      <c r="F148" s="39"/>
      <c r="G148" s="47"/>
      <c r="H148" s="24">
        <f t="shared" si="3"/>
        <v>359298.09634152177</v>
      </c>
      <c r="I148" s="41">
        <f t="shared" si="54"/>
        <v>360000</v>
      </c>
      <c r="J148" s="29">
        <f t="shared" si="55"/>
        <v>0</v>
      </c>
      <c r="K148" s="42">
        <f t="shared" si="56"/>
        <v>-701.90365847824614</v>
      </c>
      <c r="L148" s="33">
        <f t="shared" si="2"/>
        <v>0</v>
      </c>
      <c r="M148" s="196">
        <f t="shared" si="62"/>
        <v>5395.5234114131272</v>
      </c>
      <c r="N148" s="29">
        <f t="shared" si="57"/>
        <v>5277.7777777777774</v>
      </c>
      <c r="O148" s="30">
        <f t="shared" si="52"/>
        <v>117.7456336353498</v>
      </c>
      <c r="P148" s="43"/>
      <c r="Q148" s="44"/>
      <c r="R148" s="33"/>
      <c r="V148" s="45"/>
      <c r="W148" s="7"/>
      <c r="X148" s="7"/>
      <c r="Y148" s="46"/>
      <c r="Z148" s="7"/>
      <c r="AA148" s="7"/>
      <c r="AC148" s="7"/>
    </row>
    <row r="149" spans="1:29">
      <c r="A149" s="18">
        <v>45565</v>
      </c>
      <c r="B149" s="37">
        <f t="shared" si="1"/>
        <v>0</v>
      </c>
      <c r="C149" s="29"/>
      <c r="D149" s="29">
        <v>0</v>
      </c>
      <c r="E149" s="38"/>
      <c r="F149" s="39"/>
      <c r="G149" s="47"/>
      <c r="H149" s="24">
        <f t="shared" si="3"/>
        <v>362078.62486951682</v>
      </c>
      <c r="I149" s="41">
        <f t="shared" si="54"/>
        <v>360000</v>
      </c>
      <c r="J149" s="29">
        <f t="shared" si="55"/>
        <v>2750</v>
      </c>
      <c r="K149" s="42">
        <f t="shared" si="56"/>
        <v>-671.37513048315623</v>
      </c>
      <c r="L149" s="33">
        <f t="shared" si="2"/>
        <v>0</v>
      </c>
      <c r="M149" s="196">
        <f t="shared" si="63"/>
        <v>2780.5285279950899</v>
      </c>
      <c r="N149" s="29">
        <f t="shared" si="58"/>
        <v>2750</v>
      </c>
      <c r="O149" s="30">
        <f t="shared" si="52"/>
        <v>30.528527995089917</v>
      </c>
      <c r="P149" s="43"/>
      <c r="Q149" s="44"/>
      <c r="R149" s="33"/>
      <c r="V149" s="45"/>
      <c r="W149" s="7"/>
      <c r="X149" s="7"/>
      <c r="Y149" s="46"/>
      <c r="Z149" s="7">
        <f t="shared" si="64"/>
        <v>8176.0519394082166</v>
      </c>
      <c r="AA149" s="7"/>
      <c r="AC149" s="7"/>
    </row>
    <row r="150" spans="1:29">
      <c r="A150" s="18">
        <v>45585</v>
      </c>
      <c r="B150" s="37">
        <f t="shared" si="1"/>
        <v>-47500</v>
      </c>
      <c r="C150" s="29">
        <v>-40000</v>
      </c>
      <c r="D150" s="29">
        <f t="shared" ref="D150" si="93">-I148*O$4*(A150-A148)/360</f>
        <v>-7500</v>
      </c>
      <c r="E150" s="38"/>
      <c r="F150" s="39"/>
      <c r="G150" s="47"/>
      <c r="H150" s="24">
        <f t="shared" si="3"/>
        <v>319432.13364378177</v>
      </c>
      <c r="I150" s="41">
        <f t="shared" ref="I150:I166" si="94">I149+C150</f>
        <v>320000</v>
      </c>
      <c r="J150" s="29">
        <f t="shared" ref="J150:J166" si="95">J149+N150+D150</f>
        <v>0</v>
      </c>
      <c r="K150" s="42">
        <f t="shared" ref="K150:K166" si="96">K149+O150</f>
        <v>-567.8663562182569</v>
      </c>
      <c r="L150" s="33">
        <f t="shared" si="2"/>
        <v>0</v>
      </c>
      <c r="M150" s="196">
        <f t="shared" si="62"/>
        <v>4853.5087742648993</v>
      </c>
      <c r="N150" s="29">
        <f t="shared" ref="N150:N165" si="97">I149*O$4*(A150-A149-1)/360</f>
        <v>4750</v>
      </c>
      <c r="O150" s="30">
        <f t="shared" si="52"/>
        <v>103.50877426489933</v>
      </c>
      <c r="P150" s="43"/>
      <c r="Q150" s="44"/>
      <c r="R150" s="33"/>
      <c r="V150" s="45"/>
      <c r="W150" s="7"/>
      <c r="X150" s="7"/>
      <c r="Y150" s="46"/>
      <c r="Z150" s="7"/>
      <c r="AA150" s="7"/>
      <c r="AC150" s="7"/>
    </row>
    <row r="151" spans="1:29">
      <c r="A151" s="18">
        <v>45596</v>
      </c>
      <c r="B151" s="37">
        <f t="shared" si="1"/>
        <v>0</v>
      </c>
      <c r="C151" s="29"/>
      <c r="D151" s="29">
        <v>0</v>
      </c>
      <c r="E151" s="38"/>
      <c r="F151" s="39"/>
      <c r="G151" s="47"/>
      <c r="H151" s="24">
        <f t="shared" si="3"/>
        <v>322129.82330309245</v>
      </c>
      <c r="I151" s="41">
        <f t="shared" si="94"/>
        <v>320000</v>
      </c>
      <c r="J151" s="29">
        <f t="shared" si="95"/>
        <v>2666.6666666666665</v>
      </c>
      <c r="K151" s="42">
        <f t="shared" si="96"/>
        <v>-536.84336357424854</v>
      </c>
      <c r="L151" s="33">
        <f t="shared" si="2"/>
        <v>0</v>
      </c>
      <c r="M151" s="196">
        <f t="shared" si="63"/>
        <v>2697.6896593106749</v>
      </c>
      <c r="N151" s="29">
        <f t="shared" ref="N151:N165" si="98">I150*O$4*(A151-A150+1)/360</f>
        <v>2666.6666666666665</v>
      </c>
      <c r="O151" s="30">
        <f t="shared" si="52"/>
        <v>31.022992644008355</v>
      </c>
      <c r="P151" s="43"/>
      <c r="Q151" s="44"/>
      <c r="R151" s="33"/>
      <c r="V151" s="45"/>
      <c r="W151" s="7"/>
      <c r="X151" s="7"/>
      <c r="Y151" s="46"/>
      <c r="Z151" s="7">
        <f t="shared" si="64"/>
        <v>7551.1984335755742</v>
      </c>
      <c r="AA151" s="7"/>
      <c r="AC151" s="7"/>
    </row>
    <row r="152" spans="1:29">
      <c r="A152" s="18">
        <v>45616</v>
      </c>
      <c r="B152" s="37">
        <f t="shared" si="1"/>
        <v>-46888.888888888891</v>
      </c>
      <c r="C152" s="29">
        <v>-40000</v>
      </c>
      <c r="D152" s="29">
        <f t="shared" ref="D152" si="99">-I150*O$4*(A152-A150)/360</f>
        <v>-6888.8888888888887</v>
      </c>
      <c r="E152" s="38"/>
      <c r="F152" s="39"/>
      <c r="G152" s="47"/>
      <c r="H152" s="24">
        <f t="shared" si="3"/>
        <v>279558.94662610197</v>
      </c>
      <c r="I152" s="41">
        <f t="shared" si="94"/>
        <v>280000</v>
      </c>
      <c r="J152" s="29">
        <f t="shared" si="95"/>
        <v>0</v>
      </c>
      <c r="K152" s="42">
        <f t="shared" si="96"/>
        <v>-441.05337389805027</v>
      </c>
      <c r="L152" s="33">
        <f t="shared" si="2"/>
        <v>0</v>
      </c>
      <c r="M152" s="196">
        <f t="shared" si="62"/>
        <v>4318.0122118984209</v>
      </c>
      <c r="N152" s="29">
        <f t="shared" si="97"/>
        <v>4222.2222222222226</v>
      </c>
      <c r="O152" s="30">
        <f t="shared" si="52"/>
        <v>95.789989676198275</v>
      </c>
      <c r="P152" s="43"/>
      <c r="Q152" s="44"/>
      <c r="R152" s="33"/>
      <c r="V152" s="45"/>
      <c r="W152" s="7"/>
      <c r="X152" s="7"/>
      <c r="Y152" s="46"/>
      <c r="Z152" s="7"/>
      <c r="AA152" s="7"/>
      <c r="AC152" s="7"/>
    </row>
    <row r="153" spans="1:29">
      <c r="A153" s="18">
        <v>45626</v>
      </c>
      <c r="B153" s="37">
        <f t="shared" si="1"/>
        <v>0</v>
      </c>
      <c r="C153" s="29"/>
      <c r="D153" s="29">
        <v>0</v>
      </c>
      <c r="E153" s="38"/>
      <c r="F153" s="39"/>
      <c r="G153" s="47"/>
      <c r="H153" s="24">
        <f t="shared" si="3"/>
        <v>281722.3915045053</v>
      </c>
      <c r="I153" s="41">
        <f t="shared" si="94"/>
        <v>280000</v>
      </c>
      <c r="J153" s="29">
        <f t="shared" si="95"/>
        <v>2138.8888888888887</v>
      </c>
      <c r="K153" s="42">
        <f t="shared" si="96"/>
        <v>-416.49738438360419</v>
      </c>
      <c r="L153" s="33">
        <f t="shared" si="2"/>
        <v>0</v>
      </c>
      <c r="M153" s="196">
        <f t="shared" si="63"/>
        <v>2163.4448784033348</v>
      </c>
      <c r="N153" s="29">
        <f t="shared" si="98"/>
        <v>2138.8888888888887</v>
      </c>
      <c r="O153" s="30">
        <f t="shared" si="52"/>
        <v>24.555989514446082</v>
      </c>
      <c r="P153" s="43"/>
      <c r="Q153" s="44"/>
      <c r="R153" s="33"/>
      <c r="V153" s="45"/>
      <c r="W153" s="7"/>
      <c r="X153" s="7"/>
      <c r="Y153" s="46"/>
      <c r="Z153" s="7">
        <f t="shared" si="64"/>
        <v>6481.4570903017557</v>
      </c>
      <c r="AA153" s="7"/>
      <c r="AC153" s="7"/>
    </row>
    <row r="154" spans="1:29">
      <c r="A154" s="18">
        <v>45646</v>
      </c>
      <c r="B154" s="37">
        <f t="shared" si="1"/>
        <v>-45833.333333333336</v>
      </c>
      <c r="C154" s="29">
        <v>-40000</v>
      </c>
      <c r="D154" s="29">
        <f t="shared" ref="D154" si="100">-I152*O$4*(A154-A152)/360</f>
        <v>-5833.333333333333</v>
      </c>
      <c r="E154" s="38"/>
      <c r="F154" s="39"/>
      <c r="G154" s="47"/>
      <c r="H154" s="24">
        <f t="shared" si="3"/>
        <v>239665.42607901728</v>
      </c>
      <c r="I154" s="41">
        <f t="shared" si="94"/>
        <v>240000</v>
      </c>
      <c r="J154" s="29">
        <f t="shared" si="95"/>
        <v>0</v>
      </c>
      <c r="K154" s="42">
        <f t="shared" si="96"/>
        <v>-334.5739209827284</v>
      </c>
      <c r="L154" s="33">
        <f t="shared" si="2"/>
        <v>0</v>
      </c>
      <c r="M154" s="196">
        <f t="shared" si="62"/>
        <v>3776.3679078453201</v>
      </c>
      <c r="N154" s="29">
        <f t="shared" si="97"/>
        <v>3694.4444444444443</v>
      </c>
      <c r="O154" s="30">
        <f t="shared" si="52"/>
        <v>81.923463400875789</v>
      </c>
      <c r="P154" s="43"/>
      <c r="Q154" s="44"/>
      <c r="R154" s="33"/>
      <c r="V154" s="45"/>
      <c r="W154" s="7"/>
      <c r="X154" s="7"/>
      <c r="Y154" s="46"/>
      <c r="Z154" s="7"/>
      <c r="AA154" s="7"/>
      <c r="AC154" s="7"/>
    </row>
    <row r="155" spans="1:29">
      <c r="A155" s="18">
        <v>45657</v>
      </c>
      <c r="B155" s="37">
        <f t="shared" si="1"/>
        <v>0</v>
      </c>
      <c r="C155" s="29"/>
      <c r="D155" s="29">
        <v>0</v>
      </c>
      <c r="E155" s="38"/>
      <c r="F155" s="39"/>
      <c r="G155" s="47"/>
      <c r="H155" s="24">
        <f t="shared" si="3"/>
        <v>241689.46459465593</v>
      </c>
      <c r="I155" s="41">
        <f t="shared" si="94"/>
        <v>240000</v>
      </c>
      <c r="J155" s="29">
        <f t="shared" si="95"/>
        <v>2000</v>
      </c>
      <c r="K155" s="42">
        <f t="shared" si="96"/>
        <v>-310.53540534406284</v>
      </c>
      <c r="L155" s="33">
        <f t="shared" si="2"/>
        <v>0</v>
      </c>
      <c r="M155" s="196">
        <f t="shared" si="63"/>
        <v>2024.0385156386656</v>
      </c>
      <c r="N155" s="29">
        <f t="shared" si="98"/>
        <v>2000</v>
      </c>
      <c r="O155" s="30">
        <f t="shared" si="52"/>
        <v>24.038515638665558</v>
      </c>
      <c r="P155" s="43"/>
      <c r="Q155" s="44"/>
      <c r="R155" s="33"/>
      <c r="V155" s="45"/>
      <c r="W155" s="7"/>
      <c r="X155" s="7"/>
      <c r="Y155" s="46"/>
      <c r="Z155" s="7">
        <f t="shared" si="64"/>
        <v>5800.4064234839861</v>
      </c>
      <c r="AA155" s="7"/>
      <c r="AC155" s="7"/>
    </row>
    <row r="156" spans="1:29">
      <c r="A156" s="18">
        <v>45677</v>
      </c>
      <c r="B156" s="37">
        <f t="shared" si="1"/>
        <v>-45166.666666666664</v>
      </c>
      <c r="C156" s="29">
        <v>-40000</v>
      </c>
      <c r="D156" s="29">
        <f t="shared" ref="D156" si="101">-I154*O$4*(A156-A154)/360</f>
        <v>-5166.666666666667</v>
      </c>
      <c r="E156" s="38"/>
      <c r="F156" s="39"/>
      <c r="G156" s="47"/>
      <c r="H156" s="24">
        <f t="shared" si="3"/>
        <v>199762.54160929684</v>
      </c>
      <c r="I156" s="41">
        <f t="shared" si="94"/>
        <v>200000</v>
      </c>
      <c r="J156" s="29">
        <f t="shared" si="95"/>
        <v>0</v>
      </c>
      <c r="K156" s="42">
        <f t="shared" si="96"/>
        <v>-237.45839070316697</v>
      </c>
      <c r="L156" s="33">
        <f t="shared" si="2"/>
        <v>0</v>
      </c>
      <c r="M156" s="196">
        <f t="shared" ref="M156:M164" si="102">H155*((100%+$O$8)^(A156-A155-1)-100%)</f>
        <v>3239.7436813075624</v>
      </c>
      <c r="N156" s="29">
        <f t="shared" si="97"/>
        <v>3166.6666666666665</v>
      </c>
      <c r="O156" s="30">
        <f t="shared" si="52"/>
        <v>73.077014640895868</v>
      </c>
      <c r="P156" s="43"/>
      <c r="Q156" s="44"/>
      <c r="R156" s="33"/>
      <c r="V156" s="45"/>
      <c r="W156" s="7"/>
      <c r="X156" s="7"/>
      <c r="Y156" s="46"/>
      <c r="Z156" s="7"/>
      <c r="AA156" s="7"/>
      <c r="AC156" s="7"/>
    </row>
    <row r="157" spans="1:29">
      <c r="A157" s="18">
        <v>45688</v>
      </c>
      <c r="B157" s="37">
        <f t="shared" si="1"/>
        <v>0</v>
      </c>
      <c r="C157" s="29"/>
      <c r="D157" s="29">
        <v>0</v>
      </c>
      <c r="E157" s="38"/>
      <c r="F157" s="39"/>
      <c r="G157" s="47"/>
      <c r="H157" s="24">
        <f t="shared" si="3"/>
        <v>201449.58961123007</v>
      </c>
      <c r="I157" s="41">
        <f t="shared" si="94"/>
        <v>200000</v>
      </c>
      <c r="J157" s="29">
        <f t="shared" si="95"/>
        <v>1666.6666666666667</v>
      </c>
      <c r="K157" s="42">
        <f t="shared" si="96"/>
        <v>-217.07705543657858</v>
      </c>
      <c r="L157" s="33">
        <f t="shared" si="2"/>
        <v>0</v>
      </c>
      <c r="M157" s="196">
        <f t="shared" ref="M157:M165" si="103">H156*((100%+$O$8)^(A157-A156+1)-100%)</f>
        <v>1687.0480019332551</v>
      </c>
      <c r="N157" s="29">
        <f t="shared" si="98"/>
        <v>1666.6666666666667</v>
      </c>
      <c r="O157" s="30">
        <f t="shared" si="52"/>
        <v>20.381335266588394</v>
      </c>
      <c r="P157" s="43"/>
      <c r="Q157" s="44"/>
      <c r="R157" s="33"/>
      <c r="V157" s="45"/>
      <c r="W157" s="7"/>
      <c r="X157" s="7"/>
      <c r="Y157" s="46"/>
      <c r="Z157" s="7">
        <f t="shared" ref="Z157:Z165" si="104">M157+M156</f>
        <v>4926.7916832408173</v>
      </c>
      <c r="AA157" s="7"/>
      <c r="AC157" s="7"/>
    </row>
    <row r="158" spans="1:29">
      <c r="A158" s="18">
        <v>45708</v>
      </c>
      <c r="B158" s="37">
        <f t="shared" si="1"/>
        <v>-44305.555555555555</v>
      </c>
      <c r="C158" s="29">
        <v>-40000</v>
      </c>
      <c r="D158" s="29">
        <f t="shared" ref="D158" si="105">-I156*O$4*(A158-A156)/360</f>
        <v>-4305.5555555555557</v>
      </c>
      <c r="E158" s="38"/>
      <c r="F158" s="39"/>
      <c r="G158" s="47"/>
      <c r="H158" s="24">
        <f t="shared" si="3"/>
        <v>159844.37946021897</v>
      </c>
      <c r="I158" s="41">
        <f t="shared" si="94"/>
        <v>160000</v>
      </c>
      <c r="J158" s="29">
        <f t="shared" si="95"/>
        <v>0</v>
      </c>
      <c r="K158" s="42">
        <f t="shared" si="96"/>
        <v>-155.62053978103177</v>
      </c>
      <c r="L158" s="33">
        <f t="shared" si="2"/>
        <v>0</v>
      </c>
      <c r="M158" s="196">
        <f t="shared" si="102"/>
        <v>2700.3454045444355</v>
      </c>
      <c r="N158" s="29">
        <f t="shared" si="97"/>
        <v>2638.8888888888887</v>
      </c>
      <c r="O158" s="30">
        <f t="shared" si="52"/>
        <v>61.456515655546809</v>
      </c>
      <c r="P158" s="43"/>
      <c r="Q158" s="44"/>
      <c r="R158" s="33"/>
      <c r="V158" s="45"/>
      <c r="W158" s="7"/>
      <c r="X158" s="7"/>
      <c r="Y158" s="46"/>
      <c r="Z158" s="7"/>
      <c r="AA158" s="7"/>
      <c r="AC158" s="7"/>
    </row>
    <row r="159" spans="1:29">
      <c r="A159" s="18">
        <v>45716</v>
      </c>
      <c r="B159" s="37">
        <f t="shared" si="1"/>
        <v>0</v>
      </c>
      <c r="C159" s="29"/>
      <c r="D159" s="29">
        <v>0</v>
      </c>
      <c r="E159" s="38"/>
      <c r="F159" s="39"/>
      <c r="G159" s="47"/>
      <c r="H159" s="24">
        <f t="shared" si="3"/>
        <v>160855.76075404248</v>
      </c>
      <c r="I159" s="41">
        <f t="shared" si="94"/>
        <v>160000</v>
      </c>
      <c r="J159" s="29">
        <f t="shared" si="95"/>
        <v>1000</v>
      </c>
      <c r="K159" s="42">
        <f t="shared" si="96"/>
        <v>-144.23924595752032</v>
      </c>
      <c r="L159" s="33">
        <f t="shared" si="2"/>
        <v>0</v>
      </c>
      <c r="M159" s="196">
        <f t="shared" si="103"/>
        <v>1011.3812938235114</v>
      </c>
      <c r="N159" s="29">
        <f t="shared" si="98"/>
        <v>1000</v>
      </c>
      <c r="O159" s="30">
        <f t="shared" si="52"/>
        <v>11.381293823511442</v>
      </c>
      <c r="P159" s="43"/>
      <c r="Q159" s="44"/>
      <c r="R159" s="33"/>
      <c r="V159" s="45"/>
      <c r="W159" s="7"/>
      <c r="X159" s="7"/>
      <c r="Y159" s="46"/>
      <c r="Z159" s="7">
        <f t="shared" si="104"/>
        <v>3711.7266983679469</v>
      </c>
      <c r="AA159" s="7"/>
      <c r="AC159" s="7"/>
    </row>
    <row r="160" spans="1:29">
      <c r="A160" s="18">
        <v>45736</v>
      </c>
      <c r="B160" s="37">
        <f t="shared" si="1"/>
        <v>-43111.111111111109</v>
      </c>
      <c r="C160" s="29">
        <v>-40000</v>
      </c>
      <c r="D160" s="29">
        <f t="shared" ref="D160" si="106">-I158*O$4*(A160-A158)/360</f>
        <v>-3111.1111111111113</v>
      </c>
      <c r="E160" s="38"/>
      <c r="F160" s="39"/>
      <c r="G160" s="47"/>
      <c r="H160" s="24">
        <f t="shared" si="3"/>
        <v>119900.85217074462</v>
      </c>
      <c r="I160" s="41">
        <f t="shared" si="94"/>
        <v>120000</v>
      </c>
      <c r="J160" s="29">
        <f t="shared" si="95"/>
        <v>0</v>
      </c>
      <c r="K160" s="42">
        <f t="shared" si="96"/>
        <v>-99.147829255373381</v>
      </c>
      <c r="L160" s="33">
        <f t="shared" si="2"/>
        <v>0</v>
      </c>
      <c r="M160" s="196">
        <f t="shared" si="102"/>
        <v>2156.2025278132583</v>
      </c>
      <c r="N160" s="29">
        <f t="shared" si="97"/>
        <v>2111.1111111111113</v>
      </c>
      <c r="O160" s="30">
        <f t="shared" si="52"/>
        <v>45.091416702146944</v>
      </c>
      <c r="P160" s="43"/>
      <c r="Q160" s="44"/>
      <c r="R160" s="33"/>
      <c r="V160" s="45"/>
      <c r="W160" s="7"/>
      <c r="X160" s="7"/>
      <c r="Y160" s="46"/>
      <c r="Z160" s="7"/>
      <c r="AA160" s="7"/>
      <c r="AC160" s="7"/>
    </row>
    <row r="161" spans="1:29">
      <c r="A161" s="18">
        <v>45747</v>
      </c>
      <c r="B161" s="37">
        <f t="shared" si="1"/>
        <v>0</v>
      </c>
      <c r="C161" s="29"/>
      <c r="D161" s="29">
        <v>0</v>
      </c>
      <c r="E161" s="38"/>
      <c r="F161" s="39"/>
      <c r="G161" s="47"/>
      <c r="H161" s="24">
        <f t="shared" si="3"/>
        <v>120913.44688172088</v>
      </c>
      <c r="I161" s="41">
        <f t="shared" si="94"/>
        <v>120000</v>
      </c>
      <c r="J161" s="29">
        <f t="shared" si="95"/>
        <v>1000</v>
      </c>
      <c r="K161" s="42">
        <f t="shared" si="96"/>
        <v>-86.553118279112141</v>
      </c>
      <c r="L161" s="33">
        <f t="shared" si="2"/>
        <v>0</v>
      </c>
      <c r="M161" s="196">
        <f t="shared" si="103"/>
        <v>1012.5947109762612</v>
      </c>
      <c r="N161" s="29">
        <f t="shared" si="98"/>
        <v>1000</v>
      </c>
      <c r="O161" s="30">
        <f t="shared" si="52"/>
        <v>12.59471097626124</v>
      </c>
      <c r="P161" s="43">
        <v>0</v>
      </c>
      <c r="Q161" s="44">
        <f>M161/H29</f>
        <v>3.6729172099202455E-4</v>
      </c>
      <c r="R161" s="33"/>
      <c r="S161" s="2">
        <f>N30+N161-D161</f>
        <v>37416.666666666664</v>
      </c>
      <c r="T161" s="7">
        <f>O161+O30</f>
        <v>551.28889836337225</v>
      </c>
      <c r="U161" s="7">
        <f>M30+M161</f>
        <v>37967.955565030039</v>
      </c>
      <c r="V161" s="45" t="e">
        <f>N161-#REF!</f>
        <v>#REF!</v>
      </c>
      <c r="W161" s="7" t="e">
        <f>J161-#REF!</f>
        <v>#REF!</v>
      </c>
      <c r="X161" s="7"/>
      <c r="Z161" s="7">
        <f t="shared" si="104"/>
        <v>3168.7972387895197</v>
      </c>
      <c r="AA161" s="7"/>
      <c r="AC161" s="7"/>
    </row>
    <row r="162" spans="1:29">
      <c r="A162" s="18">
        <v>45767</v>
      </c>
      <c r="B162" s="37">
        <f t="shared" si="1"/>
        <v>-42583.333333333336</v>
      </c>
      <c r="C162" s="29">
        <v>-40000</v>
      </c>
      <c r="D162" s="29">
        <f t="shared" ref="D162" si="107">-I160*O$4*(A162-A160)/360</f>
        <v>-2583.3333333333335</v>
      </c>
      <c r="E162" s="38"/>
      <c r="F162" s="39"/>
      <c r="G162" s="47"/>
      <c r="H162" s="24">
        <f t="shared" si="3"/>
        <v>79950.906478593068</v>
      </c>
      <c r="I162" s="41">
        <f t="shared" si="94"/>
        <v>80000</v>
      </c>
      <c r="J162" s="29">
        <f t="shared" si="95"/>
        <v>0</v>
      </c>
      <c r="K162" s="42">
        <f t="shared" si="96"/>
        <v>-49.093521406937043</v>
      </c>
      <c r="L162" s="33">
        <f t="shared" si="2"/>
        <v>0</v>
      </c>
      <c r="M162" s="196">
        <f t="shared" si="102"/>
        <v>1620.7929302055084</v>
      </c>
      <c r="N162" s="29">
        <f t="shared" si="97"/>
        <v>1583.3333333333333</v>
      </c>
      <c r="O162" s="30">
        <f t="shared" si="52"/>
        <v>37.459596872175098</v>
      </c>
      <c r="P162" s="43">
        <v>0</v>
      </c>
      <c r="Q162" s="44"/>
      <c r="R162" s="33"/>
      <c r="V162" s="45" t="e">
        <f>N162-#REF!</f>
        <v>#REF!</v>
      </c>
      <c r="W162" s="7" t="e">
        <f>J162-#REF!</f>
        <v>#REF!</v>
      </c>
      <c r="X162" s="7">
        <f>ROUND((O161+O162),2)</f>
        <v>50.05</v>
      </c>
      <c r="Y162" s="46" t="s">
        <v>28</v>
      </c>
      <c r="Z162" s="7"/>
      <c r="AA162" s="7"/>
      <c r="AC162" s="7"/>
    </row>
    <row r="163" spans="1:29">
      <c r="A163" s="18">
        <v>45777</v>
      </c>
      <c r="B163" s="37">
        <f t="shared" si="1"/>
        <v>0</v>
      </c>
      <c r="C163" s="29"/>
      <c r="D163" s="29">
        <v>0</v>
      </c>
      <c r="E163" s="38"/>
      <c r="F163" s="39"/>
      <c r="G163" s="47"/>
      <c r="H163" s="24">
        <f t="shared" si="3"/>
        <v>80569.628866956307</v>
      </c>
      <c r="I163" s="41">
        <f t="shared" si="94"/>
        <v>80000</v>
      </c>
      <c r="J163" s="29">
        <f t="shared" si="95"/>
        <v>611.11111111111109</v>
      </c>
      <c r="K163" s="42">
        <f t="shared" si="96"/>
        <v>-41.482244154797968</v>
      </c>
      <c r="L163" s="33">
        <f t="shared" si="2"/>
        <v>0</v>
      </c>
      <c r="M163" s="196">
        <f t="shared" si="103"/>
        <v>618.72238836325016</v>
      </c>
      <c r="N163" s="29">
        <f t="shared" si="98"/>
        <v>611.11111111111109</v>
      </c>
      <c r="O163" s="30">
        <f t="shared" si="52"/>
        <v>7.6112772521390752</v>
      </c>
      <c r="P163" s="43">
        <v>0</v>
      </c>
      <c r="Q163" s="44">
        <f>M163/H161</f>
        <v>5.1170684842728248E-3</v>
      </c>
      <c r="R163" s="33"/>
      <c r="S163" s="2">
        <f>N162+N163-D163</f>
        <v>2194.4444444444443</v>
      </c>
      <c r="T163" s="7">
        <f>O163+O162</f>
        <v>45.070874124314173</v>
      </c>
      <c r="U163" s="7">
        <f>M162+M163</f>
        <v>2239.5153185687586</v>
      </c>
      <c r="V163" s="45" t="e">
        <f>N163-#REF!</f>
        <v>#REF!</v>
      </c>
      <c r="W163" s="7" t="e">
        <f>J163-#REF!</f>
        <v>#REF!</v>
      </c>
      <c r="X163" s="7"/>
      <c r="Z163" s="7">
        <f t="shared" si="104"/>
        <v>2239.5153185687586</v>
      </c>
      <c r="AA163" s="7"/>
      <c r="AC163" s="7"/>
    </row>
    <row r="164" spans="1:29">
      <c r="A164" s="18">
        <v>45797</v>
      </c>
      <c r="B164" s="37">
        <f t="shared" si="1"/>
        <v>-41666.666666666664</v>
      </c>
      <c r="C164" s="29">
        <v>-40000</v>
      </c>
      <c r="D164" s="29">
        <f t="shared" ref="D164" si="108">-I162*O$4*(A164-A162)/360</f>
        <v>-1666.6666666666667</v>
      </c>
      <c r="E164" s="38"/>
      <c r="F164" s="39"/>
      <c r="G164" s="47"/>
      <c r="H164" s="24">
        <f t="shared" si="3"/>
        <v>39982.963541948411</v>
      </c>
      <c r="I164" s="41">
        <f t="shared" si="94"/>
        <v>40000</v>
      </c>
      <c r="J164" s="29">
        <f t="shared" si="95"/>
        <v>0</v>
      </c>
      <c r="K164" s="42">
        <f t="shared" si="96"/>
        <v>-17.036458051588284</v>
      </c>
      <c r="L164" s="33">
        <f t="shared" si="2"/>
        <v>0</v>
      </c>
      <c r="M164" s="196">
        <f t="shared" si="102"/>
        <v>1080.0013416587653</v>
      </c>
      <c r="N164" s="29">
        <f t="shared" si="97"/>
        <v>1055.5555555555557</v>
      </c>
      <c r="O164" s="30">
        <f t="shared" si="52"/>
        <v>24.445786103209684</v>
      </c>
      <c r="P164" s="43">
        <v>0</v>
      </c>
      <c r="Q164" s="44"/>
      <c r="R164" s="33"/>
      <c r="V164" s="45" t="e">
        <f>N164-#REF!</f>
        <v>#REF!</v>
      </c>
      <c r="W164" s="7" t="e">
        <f>J164-#REF!</f>
        <v>#REF!</v>
      </c>
      <c r="X164" s="7">
        <f>ROUND((O163+O164),2)</f>
        <v>32.06</v>
      </c>
      <c r="Y164" s="46" t="s">
        <v>28</v>
      </c>
      <c r="Z164" s="7"/>
      <c r="AA164" s="7"/>
      <c r="AC164" s="7"/>
    </row>
    <row r="165" spans="1:29">
      <c r="A165" s="18">
        <v>45808</v>
      </c>
      <c r="B165" s="37">
        <f t="shared" si="1"/>
        <v>0</v>
      </c>
      <c r="C165" s="29"/>
      <c r="D165" s="29">
        <v>0</v>
      </c>
      <c r="E165" s="38"/>
      <c r="F165" s="39"/>
      <c r="G165" s="47"/>
      <c r="H165" s="24">
        <f t="shared" si="3"/>
        <v>40320.630344800484</v>
      </c>
      <c r="I165" s="41">
        <f t="shared" si="94"/>
        <v>40000</v>
      </c>
      <c r="J165" s="29">
        <f t="shared" si="95"/>
        <v>333.33333333333331</v>
      </c>
      <c r="K165" s="42">
        <f t="shared" si="96"/>
        <v>-12.702988532854647</v>
      </c>
      <c r="L165" s="33">
        <f t="shared" si="2"/>
        <v>0</v>
      </c>
      <c r="M165" s="196">
        <f t="shared" si="103"/>
        <v>337.66680285206695</v>
      </c>
      <c r="N165" s="29">
        <f t="shared" si="98"/>
        <v>333.33333333333331</v>
      </c>
      <c r="O165" s="30">
        <f t="shared" si="52"/>
        <v>4.3334695187336365</v>
      </c>
      <c r="P165" s="43">
        <v>0</v>
      </c>
      <c r="Q165" s="44">
        <f>M165/H163</f>
        <v>4.1909936486073706E-3</v>
      </c>
      <c r="R165" s="33"/>
      <c r="S165" s="2">
        <f>N164+N165-D165</f>
        <v>1388.8888888888889</v>
      </c>
      <c r="T165" s="7">
        <f>O165+O164</f>
        <v>28.779255621943321</v>
      </c>
      <c r="U165" s="7">
        <f>M164+M165</f>
        <v>1417.6681445108322</v>
      </c>
      <c r="V165" s="45" t="e">
        <f>N165-#REF!</f>
        <v>#REF!</v>
      </c>
      <c r="W165" s="7" t="e">
        <f>J165-#REF!</f>
        <v>#REF!</v>
      </c>
      <c r="X165" s="7"/>
      <c r="Z165" s="7">
        <f t="shared" si="104"/>
        <v>1417.6681445108322</v>
      </c>
      <c r="AA165" s="7"/>
      <c r="AC165" s="7"/>
    </row>
    <row r="166" spans="1:29" ht="15.75" thickBot="1">
      <c r="A166" s="18">
        <v>45828</v>
      </c>
      <c r="B166" s="37">
        <f t="shared" si="1"/>
        <v>-40861.111111111109</v>
      </c>
      <c r="C166" s="29">
        <v>-40000</v>
      </c>
      <c r="D166" s="29">
        <f>-I164*O$4*(A166-A164)/360</f>
        <v>-861.11111111111109</v>
      </c>
      <c r="E166" s="38"/>
      <c r="F166" s="39"/>
      <c r="G166" s="47"/>
      <c r="H166" s="24">
        <f t="shared" si="3"/>
        <v>1.4588108570023905E-6</v>
      </c>
      <c r="I166" s="41">
        <f t="shared" si="94"/>
        <v>0</v>
      </c>
      <c r="J166" s="29">
        <f t="shared" si="95"/>
        <v>0</v>
      </c>
      <c r="K166" s="42">
        <f t="shared" si="96"/>
        <v>1.4588108570023905E-6</v>
      </c>
      <c r="L166" s="33">
        <f t="shared" si="2"/>
        <v>0</v>
      </c>
      <c r="M166" s="196">
        <f>H165*((100%+$O$8)^(A166-A165-1)-100%)</f>
        <v>540.48076776944333</v>
      </c>
      <c r="N166" s="29">
        <f>I165*O$4*(A166-A165-1)/360</f>
        <v>527.77777777777783</v>
      </c>
      <c r="O166" s="30">
        <f>M166-N166</f>
        <v>12.702989991665504</v>
      </c>
      <c r="P166" s="43">
        <v>0</v>
      </c>
      <c r="Q166" s="44"/>
      <c r="R166" s="33"/>
      <c r="V166" s="45" t="e">
        <f>N166-#REF!</f>
        <v>#REF!</v>
      </c>
      <c r="W166" s="7" t="e">
        <f>J166-#REF!</f>
        <v>#REF!</v>
      </c>
      <c r="X166" s="7">
        <f>ROUND((O165+O166),2)</f>
        <v>17.04</v>
      </c>
      <c r="Y166" s="46" t="s">
        <v>28</v>
      </c>
      <c r="Z166" s="7"/>
      <c r="AA166" s="7"/>
      <c r="AC166" s="7"/>
    </row>
    <row r="167" spans="1:29" ht="16.5" thickTop="1" thickBot="1">
      <c r="A167" s="48" t="s">
        <v>29</v>
      </c>
      <c r="B167" s="49">
        <f>SUM(B15:B166)</f>
        <v>-2498354.5747736287</v>
      </c>
      <c r="C167" s="49">
        <f>SUM(C15:C166)</f>
        <v>-3000000</v>
      </c>
      <c r="D167" s="49">
        <f>SUM(D20:D166)</f>
        <v>-2283805.555555555</v>
      </c>
      <c r="E167" s="50" t="s">
        <v>30</v>
      </c>
      <c r="F167" s="51" t="s">
        <v>30</v>
      </c>
      <c r="G167" s="52"/>
      <c r="H167" s="53" t="s">
        <v>30</v>
      </c>
      <c r="I167" s="54" t="s">
        <v>30</v>
      </c>
      <c r="J167" s="55" t="s">
        <v>30</v>
      </c>
      <c r="K167" s="56" t="s">
        <v>30</v>
      </c>
      <c r="L167" s="54" t="s">
        <v>30</v>
      </c>
      <c r="M167" s="197">
        <f>SUM(M20:M166)</f>
        <v>2312399.0297540389</v>
      </c>
      <c r="N167" s="58">
        <f>SUM(N20:N166)</f>
        <v>2283805.555555556</v>
      </c>
      <c r="O167" s="59">
        <f>SUM(O20:O166)</f>
        <v>28593.474198483149</v>
      </c>
      <c r="P167" s="60">
        <f>SUM(P16:P166)</f>
        <v>0</v>
      </c>
      <c r="Q167" s="61" t="s">
        <v>24</v>
      </c>
      <c r="R167" s="33"/>
      <c r="S167" s="62">
        <f>SUM(S13:S166)</f>
        <v>383177.77777777781</v>
      </c>
      <c r="X167" s="7"/>
      <c r="Z167" s="7"/>
      <c r="AA167" s="7"/>
    </row>
    <row r="168" spans="1:29">
      <c r="C168" s="7"/>
      <c r="D168" s="7"/>
      <c r="N168" s="63"/>
      <c r="O168" s="64"/>
      <c r="P168" s="65"/>
      <c r="Z168" s="7"/>
    </row>
    <row r="169" spans="1:29">
      <c r="A169" s="189" t="s">
        <v>56</v>
      </c>
      <c r="H169" s="190">
        <f>H166</f>
        <v>1.4588108570023905E-6</v>
      </c>
      <c r="K169" s="190">
        <f>K166</f>
        <v>1.4588108570023905E-6</v>
      </c>
      <c r="M169" s="190">
        <f>M167-(N167+O167)</f>
        <v>0</v>
      </c>
      <c r="N169" s="190">
        <f>N167+D167</f>
        <v>0</v>
      </c>
      <c r="O169" s="190">
        <f>O167+K20-O20</f>
        <v>1.458824954170268E-6</v>
      </c>
      <c r="P169" s="65"/>
      <c r="Z169" s="7"/>
    </row>
    <row r="170" spans="1:29">
      <c r="N170" s="66"/>
      <c r="O170" s="66"/>
      <c r="P170" s="65"/>
      <c r="Z170" s="7"/>
    </row>
    <row r="171" spans="1:29" ht="15.75" thickBot="1">
      <c r="N171" s="65"/>
      <c r="O171" s="65"/>
      <c r="P171" s="65"/>
      <c r="Z171" s="7"/>
    </row>
    <row r="172" spans="1:29" ht="15.75" thickBot="1">
      <c r="E172" s="67"/>
      <c r="G172" s="68" t="e">
        <f>#REF!-#REF!</f>
        <v>#REF!</v>
      </c>
      <c r="N172" s="65"/>
      <c r="O172" s="65"/>
      <c r="P172" s="65"/>
    </row>
    <row r="173" spans="1:29">
      <c r="G173" s="45" t="e">
        <f>ROUND(NPV(#REF!,#REF!),0)-ROUND(NPV(#REF!,#REF!),0)</f>
        <v>#REF!</v>
      </c>
    </row>
    <row r="174" spans="1:29">
      <c r="G174" s="45" t="e">
        <f>ROUND(NPV(#REF!,#REF!)-NPV(#REF!,#REF!),0)</f>
        <v>#REF!</v>
      </c>
    </row>
    <row r="175" spans="1:29">
      <c r="G175" s="45"/>
    </row>
  </sheetData>
  <mergeCells count="23">
    <mergeCell ref="N2:P2"/>
    <mergeCell ref="A9:A12"/>
    <mergeCell ref="B9:E10"/>
    <mergeCell ref="F9:F12"/>
    <mergeCell ref="H9:L10"/>
    <mergeCell ref="M9:O10"/>
    <mergeCell ref="P9:P10"/>
    <mergeCell ref="L11:L12"/>
    <mergeCell ref="I11:I12"/>
    <mergeCell ref="J11:J12"/>
    <mergeCell ref="K11:K12"/>
    <mergeCell ref="B2:D2"/>
    <mergeCell ref="H2:L2"/>
    <mergeCell ref="C11:C12"/>
    <mergeCell ref="D11:D12"/>
    <mergeCell ref="E11:E12"/>
    <mergeCell ref="Q9:Q12"/>
    <mergeCell ref="X9:Y12"/>
    <mergeCell ref="G11:G12"/>
    <mergeCell ref="H11:H12"/>
    <mergeCell ref="N11:N12"/>
    <mergeCell ref="O11:O12"/>
    <mergeCell ref="P11:P1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2:AD47"/>
  <sheetViews>
    <sheetView tabSelected="1" workbookViewId="0">
      <selection activeCell="C9" sqref="C9:F10"/>
    </sheetView>
  </sheetViews>
  <sheetFormatPr defaultRowHeight="15"/>
  <cols>
    <col min="1" max="1" width="12" customWidth="1"/>
    <col min="2" max="2" width="13" customWidth="1"/>
    <col min="3" max="4" width="14.7109375" customWidth="1"/>
    <col min="5" max="5" width="13.140625" customWidth="1"/>
    <col min="6" max="6" width="10" customWidth="1"/>
    <col min="7" max="7" width="9.42578125" hidden="1" customWidth="1"/>
    <col min="8" max="8" width="13.85546875" hidden="1" customWidth="1"/>
    <col min="9" max="9" width="13.5703125" customWidth="1"/>
    <col min="10" max="10" width="12.7109375" customWidth="1"/>
    <col min="11" max="11" width="13.42578125" customWidth="1"/>
    <col min="12" max="12" width="12.7109375" customWidth="1"/>
    <col min="13" max="13" width="9.28515625" hidden="1" customWidth="1"/>
    <col min="14" max="14" width="12.28515625" customWidth="1"/>
    <col min="15" max="15" width="16.5703125" customWidth="1"/>
    <col min="16" max="16" width="14.140625" customWidth="1"/>
    <col min="17" max="17" width="11.42578125" hidden="1" customWidth="1"/>
    <col min="18" max="18" width="11.28515625" hidden="1" customWidth="1"/>
    <col min="19" max="19" width="0.7109375" customWidth="1"/>
    <col min="20" max="20" width="12.140625" style="2" hidden="1" customWidth="1"/>
    <col min="21" max="22" width="0" hidden="1" customWidth="1"/>
    <col min="23" max="23" width="11.28515625" hidden="1" customWidth="1"/>
    <col min="24" max="25" width="0" hidden="1" customWidth="1"/>
    <col min="26" max="26" width="49.28515625" hidden="1" customWidth="1"/>
    <col min="27" max="27" width="13.5703125" customWidth="1"/>
    <col min="28" max="28" width="10.140625" customWidth="1"/>
    <col min="30" max="30" width="11.7109375" bestFit="1" customWidth="1"/>
  </cols>
  <sheetData>
    <row r="2" spans="1:30">
      <c r="C2" s="199"/>
      <c r="D2" s="199"/>
      <c r="E2" s="199"/>
      <c r="I2" s="199"/>
      <c r="J2" s="199"/>
      <c r="K2" s="199"/>
      <c r="L2" s="199"/>
      <c r="M2" s="199"/>
      <c r="O2" s="199" t="s">
        <v>0</v>
      </c>
      <c r="P2" s="199"/>
      <c r="Q2" s="199"/>
      <c r="R2" s="1"/>
    </row>
    <row r="3" spans="1:30" ht="4.5" customHeight="1"/>
    <row r="4" spans="1:30">
      <c r="C4" s="3"/>
      <c r="O4" s="3" t="s">
        <v>1</v>
      </c>
      <c r="P4" s="4">
        <v>0.01</v>
      </c>
    </row>
    <row r="5" spans="1:30" ht="4.5" customHeight="1">
      <c r="C5" s="3"/>
    </row>
    <row r="6" spans="1:30">
      <c r="C6" s="3"/>
      <c r="O6" s="3" t="s">
        <v>51</v>
      </c>
      <c r="P6" s="4">
        <v>0.22</v>
      </c>
      <c r="T6" s="5"/>
      <c r="U6" s="6"/>
    </row>
    <row r="7" spans="1:30" ht="4.5" customHeight="1">
      <c r="C7" s="3"/>
    </row>
    <row r="8" spans="1:30" ht="15.75" thickBot="1">
      <c r="D8" s="7"/>
      <c r="E8" s="7"/>
      <c r="I8" s="7"/>
      <c r="J8" s="7"/>
      <c r="O8" s="3" t="s">
        <v>52</v>
      </c>
      <c r="P8" s="191">
        <f>(100%+P6)^(1/365)-100%</f>
        <v>5.4494530204429736E-4</v>
      </c>
    </row>
    <row r="9" spans="1:30" ht="13.5" customHeight="1" thickTop="1">
      <c r="A9" s="200" t="s">
        <v>3</v>
      </c>
      <c r="B9" s="176"/>
      <c r="C9" s="203" t="s">
        <v>4</v>
      </c>
      <c r="D9" s="204"/>
      <c r="E9" s="204"/>
      <c r="F9" s="205"/>
      <c r="G9" s="209" t="s">
        <v>5</v>
      </c>
      <c r="H9" s="185"/>
      <c r="I9" s="212" t="s">
        <v>53</v>
      </c>
      <c r="J9" s="213"/>
      <c r="K9" s="213"/>
      <c r="L9" s="213"/>
      <c r="M9" s="214"/>
      <c r="N9" s="218" t="s">
        <v>54</v>
      </c>
      <c r="O9" s="219"/>
      <c r="P9" s="220"/>
      <c r="Q9" s="224" t="s">
        <v>8</v>
      </c>
      <c r="R9" s="232" t="s">
        <v>9</v>
      </c>
      <c r="S9" s="9"/>
      <c r="Y9" s="235" t="s">
        <v>10</v>
      </c>
      <c r="Z9" s="235"/>
    </row>
    <row r="10" spans="1:30" ht="13.5" customHeight="1">
      <c r="A10" s="201"/>
      <c r="B10" s="177"/>
      <c r="C10" s="206"/>
      <c r="D10" s="207"/>
      <c r="E10" s="207"/>
      <c r="F10" s="208"/>
      <c r="G10" s="210"/>
      <c r="H10" s="186"/>
      <c r="I10" s="215"/>
      <c r="J10" s="216"/>
      <c r="K10" s="216"/>
      <c r="L10" s="216"/>
      <c r="M10" s="217"/>
      <c r="N10" s="221"/>
      <c r="O10" s="222"/>
      <c r="P10" s="223"/>
      <c r="Q10" s="225"/>
      <c r="R10" s="233"/>
      <c r="S10" s="9"/>
      <c r="T10" s="11"/>
      <c r="Y10" s="235"/>
      <c r="Z10" s="235"/>
    </row>
    <row r="11" spans="1:30" ht="13.5" customHeight="1">
      <c r="A11" s="201"/>
      <c r="B11" s="177"/>
      <c r="C11" s="12"/>
      <c r="D11" s="228" t="s">
        <v>11</v>
      </c>
      <c r="E11" s="228" t="s">
        <v>12</v>
      </c>
      <c r="F11" s="230" t="s">
        <v>49</v>
      </c>
      <c r="G11" s="210"/>
      <c r="H11" s="210" t="s">
        <v>5</v>
      </c>
      <c r="I11" s="236" t="s">
        <v>14</v>
      </c>
      <c r="J11" s="228" t="s">
        <v>11</v>
      </c>
      <c r="K11" s="228" t="s">
        <v>15</v>
      </c>
      <c r="L11" s="228" t="s">
        <v>16</v>
      </c>
      <c r="M11" s="226" t="s">
        <v>17</v>
      </c>
      <c r="N11" s="13"/>
      <c r="O11" s="228" t="s">
        <v>18</v>
      </c>
      <c r="P11" s="238" t="s">
        <v>19</v>
      </c>
      <c r="Q11" s="240" t="s">
        <v>20</v>
      </c>
      <c r="R11" s="233"/>
      <c r="S11" s="9"/>
      <c r="T11" s="14"/>
      <c r="Y11" s="235"/>
      <c r="Z11" s="235"/>
    </row>
    <row r="12" spans="1:30" ht="66.75" customHeight="1" thickBot="1">
      <c r="A12" s="202"/>
      <c r="B12" s="177" t="s">
        <v>46</v>
      </c>
      <c r="C12" s="15" t="s">
        <v>14</v>
      </c>
      <c r="D12" s="229"/>
      <c r="E12" s="229"/>
      <c r="F12" s="231"/>
      <c r="G12" s="211"/>
      <c r="H12" s="211"/>
      <c r="I12" s="237"/>
      <c r="J12" s="229"/>
      <c r="K12" s="229"/>
      <c r="L12" s="229"/>
      <c r="M12" s="227"/>
      <c r="N12" s="16" t="s">
        <v>21</v>
      </c>
      <c r="O12" s="229"/>
      <c r="P12" s="239"/>
      <c r="Q12" s="241"/>
      <c r="R12" s="234"/>
      <c r="S12" s="17"/>
      <c r="W12" t="s">
        <v>22</v>
      </c>
      <c r="X12" t="s">
        <v>23</v>
      </c>
      <c r="Y12" s="235"/>
      <c r="Z12" s="235"/>
      <c r="AA12" s="192" t="s">
        <v>55</v>
      </c>
    </row>
    <row r="13" spans="1:30" ht="16.5" thickTop="1" thickBot="1">
      <c r="A13" s="18">
        <v>43541</v>
      </c>
      <c r="B13" s="19">
        <f>XNPV(P6,C13:C38,A13:A38)</f>
        <v>-2054779.2096176327</v>
      </c>
      <c r="C13" s="19">
        <v>0</v>
      </c>
      <c r="D13" s="20">
        <v>3000000</v>
      </c>
      <c r="E13" s="20"/>
      <c r="F13" s="21">
        <f>D13+B13</f>
        <v>945220.79038236733</v>
      </c>
      <c r="G13" s="22">
        <f>NPV($P$6,C16:C$38)</f>
        <v>-31582.413908924922</v>
      </c>
      <c r="H13" s="23"/>
      <c r="I13" s="24">
        <f>J13+K13+L13</f>
        <v>2054779.2096176327</v>
      </c>
      <c r="J13" s="25">
        <f>D13</f>
        <v>3000000</v>
      </c>
      <c r="K13" s="20"/>
      <c r="L13" s="26">
        <f>-(F13-P13)</f>
        <v>-945220.79038236733</v>
      </c>
      <c r="M13" s="27" t="s">
        <v>24</v>
      </c>
      <c r="N13" s="196"/>
      <c r="O13" s="29"/>
      <c r="P13" s="30"/>
      <c r="Q13" s="31" t="s">
        <v>24</v>
      </c>
      <c r="R13" s="32" t="s">
        <v>24</v>
      </c>
      <c r="S13" s="33"/>
      <c r="T13" s="2">
        <f>O12+O13-E13</f>
        <v>0</v>
      </c>
      <c r="V13" s="34"/>
      <c r="Y13" s="35" t="s">
        <v>25</v>
      </c>
      <c r="Z13" s="36" t="s">
        <v>26</v>
      </c>
      <c r="AA13" s="7"/>
      <c r="AB13" s="7"/>
    </row>
    <row r="14" spans="1:30" ht="16.5" thickTop="1" thickBot="1">
      <c r="A14" s="18">
        <v>43555</v>
      </c>
      <c r="B14" s="178"/>
      <c r="C14" s="37">
        <f>SUM(D14:F14)</f>
        <v>0</v>
      </c>
      <c r="D14" s="29"/>
      <c r="E14" s="29"/>
      <c r="F14" s="38" t="s">
        <v>24</v>
      </c>
      <c r="G14" s="39" t="e">
        <f>NPV($P$6,#REF!)</f>
        <v>#REF!</v>
      </c>
      <c r="H14" s="40"/>
      <c r="I14" s="24">
        <f>J14+K14+L14</f>
        <v>2071639.5661401085</v>
      </c>
      <c r="J14" s="41">
        <f t="shared" ref="J14:J38" si="0">J13+D14</f>
        <v>3000000</v>
      </c>
      <c r="K14" s="29">
        <f>K13+O14-E14</f>
        <v>1166.6666666666667</v>
      </c>
      <c r="L14" s="42">
        <f>L13+P14</f>
        <v>-929527.100526558</v>
      </c>
      <c r="M14" s="33">
        <f>Q14</f>
        <v>0</v>
      </c>
      <c r="N14" s="196">
        <f>I13*((100%+$P$8)^(A14-A13+1)-100%)</f>
        <v>16860.356522476031</v>
      </c>
      <c r="O14" s="29">
        <f>J13*P$4*(A14-A13)/360</f>
        <v>1166.6666666666667</v>
      </c>
      <c r="P14" s="30">
        <f>N14-O14</f>
        <v>15693.689855809365</v>
      </c>
      <c r="Q14" s="43">
        <v>0</v>
      </c>
      <c r="R14" s="44"/>
      <c r="S14" s="33"/>
      <c r="U14" s="7">
        <f>P14</f>
        <v>15693.689855809365</v>
      </c>
      <c r="V14" s="7">
        <f>N14</f>
        <v>16860.356522476031</v>
      </c>
      <c r="W14" s="45" t="e">
        <f>O14+O12-#REF!</f>
        <v>#REF!</v>
      </c>
      <c r="X14" s="7" t="e">
        <f>K14-#REF!</f>
        <v>#REF!</v>
      </c>
      <c r="Y14" s="7">
        <f>ROUND((P12+P14),2)</f>
        <v>15693.69</v>
      </c>
      <c r="Z14" s="46" t="s">
        <v>27</v>
      </c>
      <c r="AA14" s="7">
        <f>N14</f>
        <v>16860.356522476031</v>
      </c>
      <c r="AB14" s="7"/>
      <c r="AC14" s="7">
        <f>A14-A13</f>
        <v>14</v>
      </c>
      <c r="AD14" s="7"/>
    </row>
    <row r="15" spans="1:30" ht="16.5" thickTop="1" thickBot="1">
      <c r="A15" s="18">
        <v>43585</v>
      </c>
      <c r="B15" s="178"/>
      <c r="C15" s="37">
        <f>SUM(D15:F15)</f>
        <v>0</v>
      </c>
      <c r="D15" s="29"/>
      <c r="E15" s="29"/>
      <c r="F15" s="38" t="s">
        <v>24</v>
      </c>
      <c r="G15" s="39" t="e">
        <f>NPV($P$6,#REF!)</f>
        <v>#REF!</v>
      </c>
      <c r="H15" s="40"/>
      <c r="I15" s="24">
        <f t="shared" ref="I15:I37" si="1">J15+K15+L15</f>
        <v>2104629.5460558063</v>
      </c>
      <c r="J15" s="41">
        <f t="shared" si="0"/>
        <v>3000000</v>
      </c>
      <c r="K15" s="29">
        <f t="shared" ref="K15:K38" si="2">K14+O15+E15</f>
        <v>3666.666666666667</v>
      </c>
      <c r="L15" s="42">
        <f>L14+P15</f>
        <v>-899037.12061086029</v>
      </c>
      <c r="M15" s="33">
        <f>Q15</f>
        <v>0</v>
      </c>
      <c r="N15" s="196">
        <f>I14*((100%+$P$8)^(A15-A14-1)-100%)</f>
        <v>32989.979915697666</v>
      </c>
      <c r="O15" s="29">
        <f>J14*P$4*30/360</f>
        <v>2500</v>
      </c>
      <c r="P15" s="30">
        <f>N15-O15</f>
        <v>30489.979915697666</v>
      </c>
      <c r="Q15" s="43">
        <v>0</v>
      </c>
      <c r="R15" s="44"/>
      <c r="S15" s="33"/>
      <c r="U15" s="7">
        <f>P15</f>
        <v>30489.979915697666</v>
      </c>
      <c r="V15" s="7">
        <f>N15</f>
        <v>32989.979915697666</v>
      </c>
      <c r="W15" s="45" t="e">
        <f>O15+O13-#REF!</f>
        <v>#REF!</v>
      </c>
      <c r="X15" s="7" t="e">
        <f>K15-#REF!</f>
        <v>#REF!</v>
      </c>
      <c r="Y15" s="7">
        <f>ROUND((P13+P15),2)</f>
        <v>30489.98</v>
      </c>
      <c r="Z15" s="46" t="s">
        <v>27</v>
      </c>
      <c r="AA15" s="7"/>
      <c r="AB15" s="7"/>
      <c r="AD15" s="7"/>
    </row>
    <row r="16" spans="1:30" ht="15.75" thickTop="1">
      <c r="A16" s="18">
        <v>43616</v>
      </c>
      <c r="B16" s="178"/>
      <c r="C16" s="37">
        <f>SUM(D16:F16)</f>
        <v>0</v>
      </c>
      <c r="D16" s="29"/>
      <c r="E16" s="29"/>
      <c r="F16" s="38"/>
      <c r="G16" s="39" t="e">
        <f>NPV($P$6,#REF!)</f>
        <v>#REF!</v>
      </c>
      <c r="H16" s="40"/>
      <c r="I16" s="24">
        <f t="shared" si="1"/>
        <v>2141642.2986143585</v>
      </c>
      <c r="J16" s="41">
        <f t="shared" si="0"/>
        <v>3000000</v>
      </c>
      <c r="K16" s="29">
        <f t="shared" si="2"/>
        <v>6166.666666666667</v>
      </c>
      <c r="L16" s="42">
        <f t="shared" ref="L16:L38" si="3">L15+P16</f>
        <v>-864524.36805230787</v>
      </c>
      <c r="M16" s="33">
        <f>Q16</f>
        <v>0</v>
      </c>
      <c r="N16" s="196">
        <f>I15*((100%+$P$8)^(A16-A15+1)-100%)</f>
        <v>37012.752558552464</v>
      </c>
      <c r="O16" s="29">
        <f t="shared" ref="O16:O37" si="4">J15*P$4*30/360</f>
        <v>2500</v>
      </c>
      <c r="P16" s="30">
        <f t="shared" ref="P16:P38" si="5">N16-O16</f>
        <v>34512.752558552464</v>
      </c>
      <c r="Q16" s="43">
        <v>0</v>
      </c>
      <c r="R16" s="44">
        <f>N16/I13</f>
        <v>1.8013007132498704E-2</v>
      </c>
      <c r="S16" s="33"/>
      <c r="T16" s="2">
        <f>O15+O16-E16</f>
        <v>5000</v>
      </c>
      <c r="U16" s="7">
        <f>P16</f>
        <v>34512.752558552464</v>
      </c>
      <c r="V16" s="7">
        <f>N16</f>
        <v>37012.752558552464</v>
      </c>
      <c r="W16" s="45" t="e">
        <f>O16-#REF!</f>
        <v>#REF!</v>
      </c>
      <c r="X16" s="7" t="e">
        <f>K16-#REF!</f>
        <v>#REF!</v>
      </c>
      <c r="Y16" s="7"/>
      <c r="AA16" s="7">
        <f>N16+N15</f>
        <v>70002.732474250137</v>
      </c>
      <c r="AB16" s="7"/>
      <c r="AC16" s="7"/>
      <c r="AD16" s="7"/>
    </row>
    <row r="17" spans="1:30">
      <c r="A17" s="18">
        <v>43646</v>
      </c>
      <c r="B17" s="178"/>
      <c r="C17" s="37">
        <f t="shared" ref="C17:C38" si="6">SUM(D17:F17)</f>
        <v>0</v>
      </c>
      <c r="D17" s="29"/>
      <c r="E17" s="29"/>
      <c r="F17" s="38"/>
      <c r="G17" s="39"/>
      <c r="H17" s="47"/>
      <c r="I17" s="24">
        <f t="shared" si="1"/>
        <v>2175747.0423027296</v>
      </c>
      <c r="J17" s="41">
        <f t="shared" si="0"/>
        <v>3000000</v>
      </c>
      <c r="K17" s="29">
        <f t="shared" si="2"/>
        <v>8666.6666666666679</v>
      </c>
      <c r="L17" s="42">
        <f t="shared" si="3"/>
        <v>-832919.62436393695</v>
      </c>
      <c r="M17" s="33">
        <f t="shared" ref="M17:M38" si="7">Q17</f>
        <v>0</v>
      </c>
      <c r="N17" s="196">
        <f>I16*((100%+$P$8)^(A17-A16-1)-100%)</f>
        <v>34104.743688370887</v>
      </c>
      <c r="O17" s="29">
        <f t="shared" si="4"/>
        <v>2500</v>
      </c>
      <c r="P17" s="30">
        <f t="shared" si="5"/>
        <v>31604.743688370887</v>
      </c>
      <c r="Q17" s="43">
        <v>0</v>
      </c>
      <c r="R17" s="44"/>
      <c r="S17" s="33"/>
      <c r="W17" s="45" t="e">
        <f>O17-#REF!</f>
        <v>#REF!</v>
      </c>
      <c r="X17" s="7" t="e">
        <f>K17-#REF!</f>
        <v>#REF!</v>
      </c>
      <c r="Y17" s="7">
        <f>ROUND((P16+P17),2)</f>
        <v>66117.5</v>
      </c>
      <c r="Z17" s="46" t="s">
        <v>28</v>
      </c>
      <c r="AA17" s="7"/>
      <c r="AB17" s="7"/>
      <c r="AD17" s="7"/>
    </row>
    <row r="18" spans="1:30">
      <c r="A18" s="18">
        <v>43677</v>
      </c>
      <c r="B18" s="178"/>
      <c r="C18" s="37">
        <f t="shared" si="6"/>
        <v>0</v>
      </c>
      <c r="D18" s="29"/>
      <c r="E18" s="29"/>
      <c r="F18" s="38"/>
      <c r="G18" s="39"/>
      <c r="H18" s="47"/>
      <c r="I18" s="24">
        <f t="shared" si="1"/>
        <v>2214010.4920664523</v>
      </c>
      <c r="J18" s="41">
        <f t="shared" si="0"/>
        <v>3000000</v>
      </c>
      <c r="K18" s="29">
        <f t="shared" si="2"/>
        <v>11166.666666666668</v>
      </c>
      <c r="L18" s="42">
        <f t="shared" si="3"/>
        <v>-797156.174600214</v>
      </c>
      <c r="M18" s="33">
        <f t="shared" si="7"/>
        <v>0</v>
      </c>
      <c r="N18" s="196">
        <f>I17*((100%+$P$8)^(A18-A17+1)-100%)</f>
        <v>38263.449763722914</v>
      </c>
      <c r="O18" s="29">
        <f t="shared" si="4"/>
        <v>2500</v>
      </c>
      <c r="P18" s="30">
        <f t="shared" si="5"/>
        <v>35763.449763722914</v>
      </c>
      <c r="Q18" s="43">
        <v>0</v>
      </c>
      <c r="R18" s="44">
        <f>N18/I16</f>
        <v>1.7866405509677944E-2</v>
      </c>
      <c r="S18" s="33"/>
      <c r="T18" s="2">
        <f>O17+O18-E18</f>
        <v>5000</v>
      </c>
      <c r="U18" s="7">
        <f>P18+P17</f>
        <v>67368.193452093808</v>
      </c>
      <c r="V18" s="7">
        <f>N17+N18</f>
        <v>72368.193452093808</v>
      </c>
      <c r="W18" s="45" t="e">
        <f>O18-#REF!</f>
        <v>#REF!</v>
      </c>
      <c r="X18" s="7" t="e">
        <f>K18-#REF!</f>
        <v>#REF!</v>
      </c>
      <c r="Y18" s="7"/>
      <c r="AA18" s="7">
        <f>N18+N17</f>
        <v>72368.193452093808</v>
      </c>
      <c r="AB18" s="7"/>
      <c r="AD18" s="7"/>
    </row>
    <row r="19" spans="1:30">
      <c r="A19" s="18">
        <v>43708</v>
      </c>
      <c r="B19" s="178"/>
      <c r="C19" s="37">
        <f t="shared" si="6"/>
        <v>0</v>
      </c>
      <c r="D19" s="29"/>
      <c r="E19" s="29"/>
      <c r="F19" s="38"/>
      <c r="G19" s="39"/>
      <c r="H19" s="47"/>
      <c r="I19" s="24">
        <f t="shared" si="1"/>
        <v>2250493.3963375413</v>
      </c>
      <c r="J19" s="41">
        <f t="shared" si="0"/>
        <v>3000000</v>
      </c>
      <c r="K19" s="29">
        <f t="shared" si="2"/>
        <v>13666.666666666668</v>
      </c>
      <c r="L19" s="42">
        <f t="shared" si="3"/>
        <v>-763173.27032912511</v>
      </c>
      <c r="M19" s="33">
        <f t="shared" si="7"/>
        <v>0</v>
      </c>
      <c r="N19" s="196">
        <f>I18*((100%+$P$8)^(A19-A18-1)-100%)</f>
        <v>36482.904271088853</v>
      </c>
      <c r="O19" s="29">
        <f t="shared" si="4"/>
        <v>2500</v>
      </c>
      <c r="P19" s="30">
        <f t="shared" si="5"/>
        <v>33982.904271088853</v>
      </c>
      <c r="Q19" s="43">
        <v>0</v>
      </c>
      <c r="R19" s="44"/>
      <c r="S19" s="33"/>
      <c r="W19" s="45" t="e">
        <f>O19-#REF!</f>
        <v>#REF!</v>
      </c>
      <c r="X19" s="7" t="e">
        <f>K19-#REF!</f>
        <v>#REF!</v>
      </c>
      <c r="Y19" s="7">
        <f>ROUND((P18+P19),2)</f>
        <v>69746.350000000006</v>
      </c>
      <c r="Z19" s="46" t="s">
        <v>28</v>
      </c>
      <c r="AA19" s="7"/>
      <c r="AB19" s="7"/>
      <c r="AD19" s="7"/>
    </row>
    <row r="20" spans="1:30">
      <c r="A20" s="18">
        <v>43738</v>
      </c>
      <c r="B20" s="178"/>
      <c r="C20" s="37">
        <f t="shared" si="6"/>
        <v>0</v>
      </c>
      <c r="D20" s="29"/>
      <c r="E20" s="29"/>
      <c r="F20" s="38"/>
      <c r="G20" s="39"/>
      <c r="H20" s="47"/>
      <c r="I20" s="24">
        <f t="shared" si="1"/>
        <v>2288824.0777424993</v>
      </c>
      <c r="J20" s="41">
        <f t="shared" si="0"/>
        <v>3000000</v>
      </c>
      <c r="K20" s="29">
        <f t="shared" si="2"/>
        <v>16166.666666666668</v>
      </c>
      <c r="L20" s="42">
        <f t="shared" si="3"/>
        <v>-727342.58892416698</v>
      </c>
      <c r="M20" s="33">
        <f t="shared" si="7"/>
        <v>0</v>
      </c>
      <c r="N20" s="196">
        <f>I19*((100%+$P$8)^(A20-A19+1)-100%)</f>
        <v>38330.681404958137</v>
      </c>
      <c r="O20" s="29">
        <f t="shared" si="4"/>
        <v>2500</v>
      </c>
      <c r="P20" s="30">
        <f t="shared" si="5"/>
        <v>35830.681404958137</v>
      </c>
      <c r="Q20" s="43">
        <v>0</v>
      </c>
      <c r="R20" s="44">
        <f>N20/I18</f>
        <v>1.7312782185228987E-2</v>
      </c>
      <c r="S20" s="33"/>
      <c r="T20" s="2">
        <f>O19+O20-E20</f>
        <v>5000</v>
      </c>
      <c r="U20" s="7">
        <f>P20+P19</f>
        <v>69813.585676046991</v>
      </c>
      <c r="V20" s="7">
        <f>N19+N20</f>
        <v>74813.585676046991</v>
      </c>
      <c r="W20" s="45" t="e">
        <f>O20-#REF!</f>
        <v>#REF!</v>
      </c>
      <c r="X20" s="7" t="e">
        <f>K20-#REF!</f>
        <v>#REF!</v>
      </c>
      <c r="Y20" s="7"/>
      <c r="AA20" s="7">
        <f t="shared" ref="AA20" si="8">N20+N19</f>
        <v>74813.585676046991</v>
      </c>
      <c r="AB20" s="7"/>
      <c r="AD20" s="7"/>
    </row>
    <row r="21" spans="1:30">
      <c r="A21" s="18">
        <v>43769</v>
      </c>
      <c r="B21" s="178"/>
      <c r="C21" s="37">
        <f t="shared" si="6"/>
        <v>0</v>
      </c>
      <c r="D21" s="29"/>
      <c r="E21" s="29"/>
      <c r="F21" s="38"/>
      <c r="G21" s="39"/>
      <c r="H21" s="47"/>
      <c r="I21" s="24">
        <f t="shared" si="1"/>
        <v>2326539.7751255347</v>
      </c>
      <c r="J21" s="41">
        <f t="shared" si="0"/>
        <v>3000000</v>
      </c>
      <c r="K21" s="29">
        <f t="shared" si="2"/>
        <v>18666.666666666668</v>
      </c>
      <c r="L21" s="42">
        <f t="shared" si="3"/>
        <v>-692126.89154113189</v>
      </c>
      <c r="M21" s="33">
        <f t="shared" si="7"/>
        <v>0</v>
      </c>
      <c r="N21" s="196">
        <f>I20*((100%+$P$8)^(A21-A20-1)-100%)</f>
        <v>37715.697383035047</v>
      </c>
      <c r="O21" s="29">
        <f t="shared" si="4"/>
        <v>2500</v>
      </c>
      <c r="P21" s="30">
        <f t="shared" si="5"/>
        <v>35215.697383035047</v>
      </c>
      <c r="Q21" s="43">
        <v>0</v>
      </c>
      <c r="R21" s="44"/>
      <c r="S21" s="33"/>
      <c r="W21" s="45" t="e">
        <f>O21-#REF!</f>
        <v>#REF!</v>
      </c>
      <c r="X21" s="7" t="e">
        <f>K21-#REF!</f>
        <v>#REF!</v>
      </c>
      <c r="Y21" s="7">
        <f>ROUND((P20+P21),2)</f>
        <v>71046.38</v>
      </c>
      <c r="Z21" s="46" t="s">
        <v>28</v>
      </c>
      <c r="AA21" s="7"/>
      <c r="AB21" s="7"/>
      <c r="AD21" s="7"/>
    </row>
    <row r="22" spans="1:30">
      <c r="A22" s="18">
        <v>43799</v>
      </c>
      <c r="B22" s="178"/>
      <c r="C22" s="37">
        <f t="shared" si="6"/>
        <v>0</v>
      </c>
      <c r="D22" s="29"/>
      <c r="E22" s="29"/>
      <c r="F22" s="38"/>
      <c r="G22" s="39"/>
      <c r="H22" s="47"/>
      <c r="I22" s="24">
        <f t="shared" si="1"/>
        <v>2366165.6878437982</v>
      </c>
      <c r="J22" s="41">
        <f t="shared" si="0"/>
        <v>3000000</v>
      </c>
      <c r="K22" s="29">
        <f t="shared" si="2"/>
        <v>21166.666666666668</v>
      </c>
      <c r="L22" s="42">
        <f t="shared" si="3"/>
        <v>-655000.97882286832</v>
      </c>
      <c r="M22" s="33">
        <f t="shared" si="7"/>
        <v>0</v>
      </c>
      <c r="N22" s="196">
        <f>I21*((100%+$P$8)^(A22-A21+1)-100%)</f>
        <v>39625.912718263513</v>
      </c>
      <c r="O22" s="29">
        <f t="shared" si="4"/>
        <v>2500</v>
      </c>
      <c r="P22" s="30">
        <f t="shared" si="5"/>
        <v>37125.912718263513</v>
      </c>
      <c r="Q22" s="43">
        <v>0</v>
      </c>
      <c r="R22" s="44">
        <f>N22/I20</f>
        <v>1.7312782185228991E-2</v>
      </c>
      <c r="S22" s="33"/>
      <c r="T22" s="2">
        <f>O21+O22-E22</f>
        <v>5000</v>
      </c>
      <c r="U22" s="7">
        <f>P22+P21</f>
        <v>72341.61010129856</v>
      </c>
      <c r="V22" s="7">
        <f>N21+N22</f>
        <v>77341.61010129856</v>
      </c>
      <c r="W22" s="45" t="e">
        <f>O22-#REF!</f>
        <v>#REF!</v>
      </c>
      <c r="X22" s="7" t="e">
        <f>K22-#REF!</f>
        <v>#REF!</v>
      </c>
      <c r="Y22" s="7"/>
      <c r="AA22" s="7">
        <f t="shared" ref="AA22" si="9">N22+N21</f>
        <v>77341.61010129856</v>
      </c>
      <c r="AB22" s="7"/>
      <c r="AD22" s="7"/>
    </row>
    <row r="23" spans="1:30">
      <c r="A23" s="18">
        <v>43830</v>
      </c>
      <c r="B23" s="178"/>
      <c r="C23" s="37">
        <f t="shared" si="6"/>
        <v>0</v>
      </c>
      <c r="D23" s="29"/>
      <c r="E23" s="29"/>
      <c r="F23" s="38"/>
      <c r="G23" s="39"/>
      <c r="H23" s="47"/>
      <c r="I23" s="24">
        <f t="shared" si="1"/>
        <v>2405155.8356269593</v>
      </c>
      <c r="J23" s="41">
        <f t="shared" si="0"/>
        <v>3000000</v>
      </c>
      <c r="K23" s="29">
        <f t="shared" si="2"/>
        <v>23666.666666666668</v>
      </c>
      <c r="L23" s="42">
        <f t="shared" si="3"/>
        <v>-618510.83103970718</v>
      </c>
      <c r="M23" s="33">
        <f t="shared" si="7"/>
        <v>0</v>
      </c>
      <c r="N23" s="196">
        <f>I22*((100%+$P$8)^(A23-A22-1)-100%)</f>
        <v>38990.147783161192</v>
      </c>
      <c r="O23" s="29">
        <f t="shared" si="4"/>
        <v>2500</v>
      </c>
      <c r="P23" s="30">
        <f t="shared" si="5"/>
        <v>36490.147783161192</v>
      </c>
      <c r="Q23" s="43">
        <v>0</v>
      </c>
      <c r="R23" s="44"/>
      <c r="S23" s="33"/>
      <c r="W23" s="45" t="e">
        <f>O23-#REF!</f>
        <v>#REF!</v>
      </c>
      <c r="X23" s="7" t="e">
        <f>K23-#REF!</f>
        <v>#REF!</v>
      </c>
      <c r="Y23" s="7">
        <f>ROUND((P22+P23),2)</f>
        <v>73616.06</v>
      </c>
      <c r="Z23" s="46" t="s">
        <v>28</v>
      </c>
      <c r="AA23" s="7"/>
      <c r="AB23" s="7"/>
      <c r="AD23" s="7"/>
    </row>
    <row r="24" spans="1:30">
      <c r="A24" s="18">
        <v>43861</v>
      </c>
      <c r="B24" s="178"/>
      <c r="C24" s="37">
        <f t="shared" si="6"/>
        <v>0</v>
      </c>
      <c r="D24" s="29"/>
      <c r="E24" s="29"/>
      <c r="F24" s="38"/>
      <c r="G24" s="39"/>
      <c r="H24" s="47"/>
      <c r="I24" s="24">
        <f t="shared" si="1"/>
        <v>2447453.7488039602</v>
      </c>
      <c r="J24" s="41">
        <f t="shared" si="0"/>
        <v>3000000</v>
      </c>
      <c r="K24" s="29">
        <f t="shared" si="2"/>
        <v>26166.666666666668</v>
      </c>
      <c r="L24" s="42">
        <f t="shared" si="3"/>
        <v>-578712.91786270635</v>
      </c>
      <c r="M24" s="33">
        <f t="shared" si="7"/>
        <v>0</v>
      </c>
      <c r="N24" s="196">
        <f>I23*((100%+$P$8)^(A24-A23+1)-100%)</f>
        <v>42297.91317700081</v>
      </c>
      <c r="O24" s="29">
        <f t="shared" si="4"/>
        <v>2500</v>
      </c>
      <c r="P24" s="30">
        <f t="shared" si="5"/>
        <v>39797.91317700081</v>
      </c>
      <c r="Q24" s="43">
        <v>0</v>
      </c>
      <c r="R24" s="44">
        <f>N24/I22</f>
        <v>1.7876141723424863E-2</v>
      </c>
      <c r="S24" s="33"/>
      <c r="T24" s="2">
        <f>O23+O24-E24</f>
        <v>5000</v>
      </c>
      <c r="U24" s="7">
        <f>P24+P23</f>
        <v>76288.060960161994</v>
      </c>
      <c r="V24" s="7">
        <f>N23+N24</f>
        <v>81288.060960161994</v>
      </c>
      <c r="W24" s="45" t="e">
        <f>O24-#REF!</f>
        <v>#REF!</v>
      </c>
      <c r="X24" s="7" t="e">
        <f>K24-#REF!</f>
        <v>#REF!</v>
      </c>
      <c r="Y24" s="7"/>
      <c r="AA24" s="7">
        <f t="shared" ref="AA24" si="10">N24+N23</f>
        <v>81288.060960161994</v>
      </c>
      <c r="AB24" s="7"/>
      <c r="AD24" s="7"/>
    </row>
    <row r="25" spans="1:30">
      <c r="A25" s="18">
        <v>43890</v>
      </c>
      <c r="B25" s="178"/>
      <c r="C25" s="37">
        <f t="shared" si="6"/>
        <v>0</v>
      </c>
      <c r="D25" s="29"/>
      <c r="E25" s="29"/>
      <c r="F25" s="38"/>
      <c r="G25" s="39"/>
      <c r="H25" s="47"/>
      <c r="I25" s="24">
        <f t="shared" si="1"/>
        <v>2485074.1804070016</v>
      </c>
      <c r="J25" s="41">
        <f t="shared" si="0"/>
        <v>3000000</v>
      </c>
      <c r="K25" s="29">
        <f t="shared" si="2"/>
        <v>28666.666666666668</v>
      </c>
      <c r="L25" s="42">
        <f t="shared" si="3"/>
        <v>-543592.48625966476</v>
      </c>
      <c r="M25" s="33">
        <f t="shared" si="7"/>
        <v>0</v>
      </c>
      <c r="N25" s="196">
        <f>I24*((100%+$P$8)^(A25-A24-1)-100%)</f>
        <v>37620.43160304155</v>
      </c>
      <c r="O25" s="29">
        <f t="shared" si="4"/>
        <v>2500</v>
      </c>
      <c r="P25" s="30">
        <f t="shared" si="5"/>
        <v>35120.43160304155</v>
      </c>
      <c r="Q25" s="43">
        <v>0</v>
      </c>
      <c r="R25" s="44"/>
      <c r="S25" s="33"/>
      <c r="W25" s="45" t="e">
        <f>O25-#REF!</f>
        <v>#REF!</v>
      </c>
      <c r="X25" s="7" t="e">
        <f>K25-#REF!</f>
        <v>#REF!</v>
      </c>
      <c r="Y25" s="7">
        <f>ROUND((P24+P25),2)</f>
        <v>74918.34</v>
      </c>
      <c r="Z25" s="46" t="s">
        <v>28</v>
      </c>
      <c r="AA25" s="7"/>
      <c r="AB25" s="7"/>
      <c r="AD25" s="7"/>
    </row>
    <row r="26" spans="1:30">
      <c r="A26" s="18">
        <v>43921</v>
      </c>
      <c r="B26" s="178"/>
      <c r="C26" s="37">
        <f t="shared" si="6"/>
        <v>0</v>
      </c>
      <c r="D26" s="29"/>
      <c r="E26" s="29"/>
      <c r="F26" s="38"/>
      <c r="G26" s="39"/>
      <c r="H26" s="47"/>
      <c r="I26" s="24">
        <f t="shared" si="1"/>
        <v>2528777.5655948734</v>
      </c>
      <c r="J26" s="41">
        <f t="shared" si="0"/>
        <v>3000000</v>
      </c>
      <c r="K26" s="29">
        <f t="shared" si="2"/>
        <v>31166.666666666668</v>
      </c>
      <c r="L26" s="42">
        <f t="shared" si="3"/>
        <v>-502389.10107179329</v>
      </c>
      <c r="M26" s="33">
        <f t="shared" si="7"/>
        <v>0</v>
      </c>
      <c r="N26" s="196">
        <f>I25*((100%+$P$8)^(A26-A25+1)-100%)</f>
        <v>43703.385187871441</v>
      </c>
      <c r="O26" s="29">
        <f t="shared" si="4"/>
        <v>2500</v>
      </c>
      <c r="P26" s="30">
        <f t="shared" si="5"/>
        <v>41203.385187871441</v>
      </c>
      <c r="Q26" s="43">
        <v>0</v>
      </c>
      <c r="R26" s="44">
        <f>N26/I24</f>
        <v>1.785667459874522E-2</v>
      </c>
      <c r="S26" s="33"/>
      <c r="T26" s="2">
        <f>O25+O26-E26</f>
        <v>5000</v>
      </c>
      <c r="U26" s="7">
        <f>P26+P25</f>
        <v>76323.816790912999</v>
      </c>
      <c r="V26" s="7">
        <f>N25+N26</f>
        <v>81323.816790912999</v>
      </c>
      <c r="W26" s="45" t="e">
        <f>O26-#REF!</f>
        <v>#REF!</v>
      </c>
      <c r="X26" s="7" t="e">
        <f>K26-#REF!</f>
        <v>#REF!</v>
      </c>
      <c r="Y26" s="7"/>
      <c r="AA26" s="7">
        <f t="shared" ref="AA26:AA36" si="11">N26+N25</f>
        <v>81323.816790912999</v>
      </c>
      <c r="AB26" s="7"/>
      <c r="AD26" s="7"/>
    </row>
    <row r="27" spans="1:30">
      <c r="A27" s="18">
        <v>43951</v>
      </c>
      <c r="B27" s="178"/>
      <c r="C27" s="37">
        <f t="shared" si="6"/>
        <v>0</v>
      </c>
      <c r="D27" s="29"/>
      <c r="E27" s="29"/>
      <c r="F27" s="38"/>
      <c r="G27" s="39"/>
      <c r="H27" s="47"/>
      <c r="I27" s="24">
        <f t="shared" si="1"/>
        <v>2569047.2739281999</v>
      </c>
      <c r="J27" s="41">
        <f t="shared" si="0"/>
        <v>3000000</v>
      </c>
      <c r="K27" s="29">
        <f t="shared" si="2"/>
        <v>33666.666666666672</v>
      </c>
      <c r="L27" s="42">
        <f t="shared" si="3"/>
        <v>-464619.39273846656</v>
      </c>
      <c r="M27" s="33">
        <f t="shared" si="7"/>
        <v>0</v>
      </c>
      <c r="N27" s="196">
        <f>I26*((100%+$P$8)^(A27-A26-1)-100%)</f>
        <v>40269.708333326736</v>
      </c>
      <c r="O27" s="29">
        <f t="shared" si="4"/>
        <v>2500</v>
      </c>
      <c r="P27" s="30">
        <f t="shared" si="5"/>
        <v>37769.708333326736</v>
      </c>
      <c r="Q27" s="43">
        <v>0</v>
      </c>
      <c r="R27" s="44"/>
      <c r="S27" s="33"/>
      <c r="W27" s="45" t="e">
        <f>O27-#REF!</f>
        <v>#REF!</v>
      </c>
      <c r="X27" s="7" t="e">
        <f>K27-#REF!</f>
        <v>#REF!</v>
      </c>
      <c r="Y27" s="7">
        <f>ROUND((P26+P27),2)</f>
        <v>78973.09</v>
      </c>
      <c r="Z27" s="46" t="s">
        <v>28</v>
      </c>
      <c r="AA27" s="7"/>
      <c r="AB27" s="7"/>
      <c r="AD27" s="7"/>
    </row>
    <row r="28" spans="1:30">
      <c r="A28" s="18">
        <v>43982</v>
      </c>
      <c r="B28" s="178"/>
      <c r="C28" s="37">
        <f t="shared" si="6"/>
        <v>0</v>
      </c>
      <c r="D28" s="29"/>
      <c r="E28" s="29"/>
      <c r="F28" s="38"/>
      <c r="G28" s="39"/>
      <c r="H28" s="47"/>
      <c r="I28" s="24">
        <f t="shared" si="1"/>
        <v>2614227.4393588942</v>
      </c>
      <c r="J28" s="41">
        <f t="shared" si="0"/>
        <v>3000000</v>
      </c>
      <c r="K28" s="29">
        <f t="shared" si="2"/>
        <v>36166.666666666672</v>
      </c>
      <c r="L28" s="42">
        <f t="shared" si="3"/>
        <v>-421939.22730777232</v>
      </c>
      <c r="M28" s="33">
        <f t="shared" si="7"/>
        <v>0</v>
      </c>
      <c r="N28" s="196">
        <f>I27*((100%+$P$8)^(A28-A27+1)-100%)</f>
        <v>45180.165430694222</v>
      </c>
      <c r="O28" s="29">
        <f t="shared" si="4"/>
        <v>2500</v>
      </c>
      <c r="P28" s="30">
        <f t="shared" si="5"/>
        <v>42680.165430694222</v>
      </c>
      <c r="Q28" s="43"/>
      <c r="R28" s="44"/>
      <c r="S28" s="33"/>
      <c r="W28" s="45"/>
      <c r="X28" s="7"/>
      <c r="Y28" s="7"/>
      <c r="Z28" s="46"/>
      <c r="AA28" s="7">
        <f t="shared" si="11"/>
        <v>85449.873764020958</v>
      </c>
      <c r="AB28" s="7"/>
      <c r="AD28" s="7"/>
    </row>
    <row r="29" spans="1:30">
      <c r="A29" s="18">
        <v>44012</v>
      </c>
      <c r="B29" s="178"/>
      <c r="C29" s="37">
        <f t="shared" si="6"/>
        <v>0</v>
      </c>
      <c r="D29" s="29"/>
      <c r="E29" s="29"/>
      <c r="F29" s="38"/>
      <c r="G29" s="39"/>
      <c r="H29" s="47"/>
      <c r="I29" s="24">
        <f t="shared" si="1"/>
        <v>2655857.9006269248</v>
      </c>
      <c r="J29" s="41">
        <f t="shared" si="0"/>
        <v>3000000</v>
      </c>
      <c r="K29" s="29">
        <f t="shared" si="2"/>
        <v>38666.666666666672</v>
      </c>
      <c r="L29" s="42">
        <f t="shared" si="3"/>
        <v>-382808.76603974163</v>
      </c>
      <c r="M29" s="33">
        <f t="shared" si="7"/>
        <v>0</v>
      </c>
      <c r="N29" s="196">
        <f>I28*((100%+$P$8)^(A29-A28-1)-100%)</f>
        <v>41630.461268030675</v>
      </c>
      <c r="O29" s="29">
        <f t="shared" si="4"/>
        <v>2500</v>
      </c>
      <c r="P29" s="30">
        <f>N29-O29</f>
        <v>39130.461268030675</v>
      </c>
      <c r="Q29" s="43"/>
      <c r="R29" s="44"/>
      <c r="S29" s="33"/>
      <c r="W29" s="45"/>
      <c r="X29" s="7"/>
      <c r="Y29" s="7"/>
      <c r="Z29" s="46"/>
      <c r="AA29" s="7"/>
      <c r="AB29" s="7"/>
      <c r="AD29" s="7"/>
    </row>
    <row r="30" spans="1:30">
      <c r="A30" s="18">
        <v>44043</v>
      </c>
      <c r="B30" s="178"/>
      <c r="C30" s="37">
        <f t="shared" si="6"/>
        <v>0</v>
      </c>
      <c r="D30" s="29"/>
      <c r="E30" s="29"/>
      <c r="F30" s="38"/>
      <c r="G30" s="39"/>
      <c r="H30" s="47"/>
      <c r="I30" s="24">
        <f t="shared" si="1"/>
        <v>2702564.7481530379</v>
      </c>
      <c r="J30" s="41">
        <f t="shared" si="0"/>
        <v>3000000</v>
      </c>
      <c r="K30" s="29">
        <f t="shared" si="2"/>
        <v>41166.666666666672</v>
      </c>
      <c r="L30" s="42">
        <f t="shared" si="3"/>
        <v>-338601.91851362865</v>
      </c>
      <c r="M30" s="33">
        <f t="shared" si="7"/>
        <v>0</v>
      </c>
      <c r="N30" s="196">
        <f>I29*((100%+$P$8)^(A30-A29+1)-100%)</f>
        <v>46706.847526113008</v>
      </c>
      <c r="O30" s="29">
        <f t="shared" si="4"/>
        <v>2500</v>
      </c>
      <c r="P30" s="30">
        <f t="shared" si="5"/>
        <v>44206.847526113008</v>
      </c>
      <c r="Q30" s="43"/>
      <c r="R30" s="44"/>
      <c r="S30" s="33"/>
      <c r="W30" s="45"/>
      <c r="X30" s="7"/>
      <c r="Y30" s="7"/>
      <c r="Z30" s="46"/>
      <c r="AA30" s="7">
        <f t="shared" si="11"/>
        <v>88337.308794143682</v>
      </c>
      <c r="AB30" s="7"/>
      <c r="AD30" s="7"/>
    </row>
    <row r="31" spans="1:30">
      <c r="A31" s="18">
        <v>44074</v>
      </c>
      <c r="B31" s="178"/>
      <c r="C31" s="37">
        <f t="shared" si="6"/>
        <v>0</v>
      </c>
      <c r="D31" s="29"/>
      <c r="E31" s="29"/>
      <c r="F31" s="38"/>
      <c r="G31" s="39"/>
      <c r="H31" s="47"/>
      <c r="I31" s="24">
        <f t="shared" si="1"/>
        <v>2747098.1464122576</v>
      </c>
      <c r="J31" s="41">
        <f t="shared" si="0"/>
        <v>3000000</v>
      </c>
      <c r="K31" s="29">
        <f t="shared" si="2"/>
        <v>43666.666666666672</v>
      </c>
      <c r="L31" s="42">
        <f t="shared" si="3"/>
        <v>-296568.52025440882</v>
      </c>
      <c r="M31" s="33">
        <f t="shared" si="7"/>
        <v>0</v>
      </c>
      <c r="N31" s="196">
        <f>I30*((100%+$P$8)^(A31-A30-1)-100%)</f>
        <v>44533.398259219852</v>
      </c>
      <c r="O31" s="29">
        <f t="shared" si="4"/>
        <v>2500</v>
      </c>
      <c r="P31" s="30">
        <f t="shared" si="5"/>
        <v>42033.398259219852</v>
      </c>
      <c r="Q31" s="43"/>
      <c r="R31" s="44"/>
      <c r="S31" s="33"/>
      <c r="W31" s="45"/>
      <c r="X31" s="7"/>
      <c r="Y31" s="7"/>
      <c r="Z31" s="46"/>
      <c r="AA31" s="7"/>
      <c r="AB31" s="7"/>
      <c r="AD31" s="7"/>
    </row>
    <row r="32" spans="1:30">
      <c r="A32" s="18">
        <v>44104</v>
      </c>
      <c r="B32" s="178"/>
      <c r="C32" s="37">
        <f t="shared" si="6"/>
        <v>0</v>
      </c>
      <c r="D32" s="29"/>
      <c r="E32" s="29"/>
      <c r="F32" s="38"/>
      <c r="G32" s="39"/>
      <c r="H32" s="47"/>
      <c r="I32" s="24">
        <f t="shared" si="1"/>
        <v>2793887.0612385096</v>
      </c>
      <c r="J32" s="41">
        <f t="shared" si="0"/>
        <v>3000000</v>
      </c>
      <c r="K32" s="29">
        <f t="shared" si="2"/>
        <v>46166.666666666672</v>
      </c>
      <c r="L32" s="42">
        <f t="shared" si="3"/>
        <v>-252279.60542815705</v>
      </c>
      <c r="M32" s="33">
        <f t="shared" si="7"/>
        <v>0</v>
      </c>
      <c r="N32" s="196">
        <f>I31*((100%+$P$8)^(A32-A31+1)-100%)</f>
        <v>46788.91482625177</v>
      </c>
      <c r="O32" s="29">
        <f t="shared" si="4"/>
        <v>2500</v>
      </c>
      <c r="P32" s="30">
        <f t="shared" si="5"/>
        <v>44288.91482625177</v>
      </c>
      <c r="Q32" s="43"/>
      <c r="R32" s="44"/>
      <c r="S32" s="33"/>
      <c r="W32" s="45"/>
      <c r="X32" s="7"/>
      <c r="Y32" s="7"/>
      <c r="Z32" s="46"/>
      <c r="AA32" s="7">
        <f t="shared" si="11"/>
        <v>91322.313085471629</v>
      </c>
      <c r="AB32" s="7"/>
      <c r="AD32" s="7"/>
    </row>
    <row r="33" spans="1:30">
      <c r="A33" s="18">
        <v>44135</v>
      </c>
      <c r="B33" s="178"/>
      <c r="C33" s="37">
        <f t="shared" si="6"/>
        <v>0</v>
      </c>
      <c r="D33" s="29"/>
      <c r="E33" s="29"/>
      <c r="F33" s="38"/>
      <c r="G33" s="39"/>
      <c r="H33" s="47"/>
      <c r="I33" s="24">
        <f t="shared" si="1"/>
        <v>2839925.2866961779</v>
      </c>
      <c r="J33" s="41">
        <f t="shared" si="0"/>
        <v>3000000</v>
      </c>
      <c r="K33" s="29">
        <f t="shared" si="2"/>
        <v>48666.666666666672</v>
      </c>
      <c r="L33" s="42">
        <f t="shared" si="3"/>
        <v>-208741.37997048884</v>
      </c>
      <c r="M33" s="33">
        <f t="shared" si="7"/>
        <v>0</v>
      </c>
      <c r="N33" s="196">
        <f>I32*((100%+$P$8)^(A33-A32-1)-100%)</f>
        <v>46038.225457668232</v>
      </c>
      <c r="O33" s="29">
        <f t="shared" si="4"/>
        <v>2500</v>
      </c>
      <c r="P33" s="30">
        <f t="shared" si="5"/>
        <v>43538.225457668232</v>
      </c>
      <c r="Q33" s="43"/>
      <c r="R33" s="44"/>
      <c r="S33" s="33"/>
      <c r="W33" s="45"/>
      <c r="X33" s="7"/>
      <c r="Y33" s="7"/>
      <c r="Z33" s="46"/>
      <c r="AA33" s="7"/>
      <c r="AB33" s="7"/>
      <c r="AD33" s="7"/>
    </row>
    <row r="34" spans="1:30">
      <c r="A34" s="18">
        <v>44165</v>
      </c>
      <c r="B34" s="178"/>
      <c r="C34" s="37">
        <f t="shared" si="6"/>
        <v>0</v>
      </c>
      <c r="D34" s="29"/>
      <c r="E34" s="29"/>
      <c r="F34" s="38"/>
      <c r="G34" s="39"/>
      <c r="H34" s="47"/>
      <c r="I34" s="24">
        <f t="shared" si="1"/>
        <v>2888295.2448375295</v>
      </c>
      <c r="J34" s="41">
        <f t="shared" si="0"/>
        <v>3000000</v>
      </c>
      <c r="K34" s="29">
        <f t="shared" si="2"/>
        <v>51166.666666666672</v>
      </c>
      <c r="L34" s="42">
        <f t="shared" si="3"/>
        <v>-162871.42182913702</v>
      </c>
      <c r="M34" s="33">
        <f t="shared" si="7"/>
        <v>0</v>
      </c>
      <c r="N34" s="196">
        <f>I33*((100%+$P$8)^(A34-A33+1)-100%)</f>
        <v>48369.958141351832</v>
      </c>
      <c r="O34" s="29">
        <f t="shared" si="4"/>
        <v>2500</v>
      </c>
      <c r="P34" s="30">
        <f t="shared" si="5"/>
        <v>45869.958141351832</v>
      </c>
      <c r="Q34" s="43"/>
      <c r="R34" s="44"/>
      <c r="S34" s="33"/>
      <c r="W34" s="45"/>
      <c r="X34" s="7"/>
      <c r="Y34" s="7"/>
      <c r="Z34" s="46"/>
      <c r="AA34" s="7">
        <f t="shared" si="11"/>
        <v>94408.183599020063</v>
      </c>
      <c r="AB34" s="7"/>
      <c r="AD34" s="7"/>
    </row>
    <row r="35" spans="1:30">
      <c r="A35" s="18">
        <v>44196</v>
      </c>
      <c r="B35" s="178"/>
      <c r="C35" s="37">
        <f t="shared" si="6"/>
        <v>0</v>
      </c>
      <c r="D35" s="29"/>
      <c r="E35" s="29"/>
      <c r="F35" s="38"/>
      <c r="G35" s="39"/>
      <c r="H35" s="47"/>
      <c r="I35" s="24">
        <f t="shared" si="1"/>
        <v>2935889.1470803767</v>
      </c>
      <c r="J35" s="41">
        <f t="shared" si="0"/>
        <v>3000000</v>
      </c>
      <c r="K35" s="29">
        <f t="shared" si="2"/>
        <v>53666.666666666672</v>
      </c>
      <c r="L35" s="42">
        <f t="shared" si="3"/>
        <v>-117777.51958628983</v>
      </c>
      <c r="M35" s="33">
        <f t="shared" si="7"/>
        <v>0</v>
      </c>
      <c r="N35" s="196">
        <f>I34*((100%+$P$8)^(A35-A34-1)-100%)</f>
        <v>47593.902242847187</v>
      </c>
      <c r="O35" s="29">
        <f t="shared" si="4"/>
        <v>2500</v>
      </c>
      <c r="P35" s="30">
        <f t="shared" si="5"/>
        <v>45093.902242847187</v>
      </c>
      <c r="Q35" s="43"/>
      <c r="R35" s="44"/>
      <c r="S35" s="33"/>
      <c r="W35" s="45"/>
      <c r="X35" s="7"/>
      <c r="Y35" s="7"/>
      <c r="Z35" s="46"/>
      <c r="AA35" s="7"/>
      <c r="AB35" s="7"/>
      <c r="AD35" s="7"/>
    </row>
    <row r="36" spans="1:30">
      <c r="A36" s="18">
        <v>44227</v>
      </c>
      <c r="B36" s="178"/>
      <c r="C36" s="37">
        <f t="shared" si="6"/>
        <v>0</v>
      </c>
      <c r="D36" s="29"/>
      <c r="E36" s="29"/>
      <c r="F36" s="38"/>
      <c r="G36" s="39"/>
      <c r="H36" s="47"/>
      <c r="I36" s="24">
        <f t="shared" si="1"/>
        <v>2987520.7222161866</v>
      </c>
      <c r="J36" s="41">
        <f t="shared" si="0"/>
        <v>3000000</v>
      </c>
      <c r="K36" s="29">
        <f t="shared" si="2"/>
        <v>56166.666666666672</v>
      </c>
      <c r="L36" s="42">
        <f t="shared" si="3"/>
        <v>-68645.944450480034</v>
      </c>
      <c r="M36" s="33">
        <f t="shared" si="7"/>
        <v>0</v>
      </c>
      <c r="N36" s="196">
        <f>I35*((100%+$P$8)^(A36-A35+1)-100%)</f>
        <v>51631.575135809791</v>
      </c>
      <c r="O36" s="29">
        <f t="shared" si="4"/>
        <v>2500</v>
      </c>
      <c r="P36" s="30">
        <f t="shared" si="5"/>
        <v>49131.575135809791</v>
      </c>
      <c r="Q36" s="43"/>
      <c r="R36" s="44"/>
      <c r="S36" s="33"/>
      <c r="W36" s="45"/>
      <c r="X36" s="7"/>
      <c r="Y36" s="7"/>
      <c r="Z36" s="46"/>
      <c r="AA36" s="7">
        <f t="shared" si="11"/>
        <v>99225.477378656971</v>
      </c>
      <c r="AB36" s="7"/>
      <c r="AD36" s="7"/>
    </row>
    <row r="37" spans="1:30">
      <c r="A37" s="18">
        <v>44255</v>
      </c>
      <c r="B37" s="178"/>
      <c r="C37" s="37">
        <f t="shared" si="6"/>
        <v>0</v>
      </c>
      <c r="D37" s="29"/>
      <c r="E37" s="29"/>
      <c r="F37" s="38"/>
      <c r="G37" s="39"/>
      <c r="H37" s="47"/>
      <c r="I37" s="24">
        <f t="shared" si="1"/>
        <v>3031790.5000965926</v>
      </c>
      <c r="J37" s="41">
        <f t="shared" si="0"/>
        <v>3000000</v>
      </c>
      <c r="K37" s="29">
        <f t="shared" si="2"/>
        <v>58666.666666666672</v>
      </c>
      <c r="L37" s="42">
        <f t="shared" si="3"/>
        <v>-26876.166570073852</v>
      </c>
      <c r="M37" s="33">
        <f t="shared" si="7"/>
        <v>0</v>
      </c>
      <c r="N37" s="196">
        <f>I36*((100%+$P$8)^(A37-A36-1)-100%)</f>
        <v>44269.777880406182</v>
      </c>
      <c r="O37" s="29">
        <f t="shared" si="4"/>
        <v>2500</v>
      </c>
      <c r="P37" s="30">
        <f t="shared" si="5"/>
        <v>41769.777880406182</v>
      </c>
      <c r="Q37" s="43"/>
      <c r="R37" s="44"/>
      <c r="S37" s="33"/>
      <c r="W37" s="45"/>
      <c r="X37" s="7"/>
      <c r="Y37" s="7"/>
      <c r="Z37" s="46"/>
      <c r="AA37" s="7"/>
      <c r="AB37" s="7"/>
      <c r="AD37" s="7"/>
    </row>
    <row r="38" spans="1:30" ht="15.75" thickBot="1">
      <c r="A38" s="18">
        <v>44272</v>
      </c>
      <c r="B38" s="178"/>
      <c r="C38" s="37">
        <f t="shared" si="6"/>
        <v>-3060000</v>
      </c>
      <c r="D38" s="29">
        <v>-3000000</v>
      </c>
      <c r="E38" s="29">
        <f>-O39</f>
        <v>-60000.000000000007</v>
      </c>
      <c r="F38" s="38"/>
      <c r="G38" s="39"/>
      <c r="H38" s="47"/>
      <c r="I38" s="24">
        <f>J38+K38+L38</f>
        <v>1.0220901458524168E-7</v>
      </c>
      <c r="J38" s="41">
        <f t="shared" si="0"/>
        <v>0</v>
      </c>
      <c r="K38" s="29">
        <f t="shared" si="2"/>
        <v>0</v>
      </c>
      <c r="L38" s="42">
        <f t="shared" si="3"/>
        <v>1.0220901458524168E-7</v>
      </c>
      <c r="M38" s="33">
        <f t="shared" si="7"/>
        <v>0</v>
      </c>
      <c r="N38" s="196">
        <f>I37*((100%+$P$8)^(A38-A37)-100%)</f>
        <v>28209.499903509393</v>
      </c>
      <c r="O38" s="29">
        <f>J37*P$4*(A38-A37-1)/360</f>
        <v>1333.3333333333333</v>
      </c>
      <c r="P38" s="30">
        <f t="shared" si="5"/>
        <v>26876.166570176061</v>
      </c>
      <c r="Q38" s="43"/>
      <c r="R38" s="44"/>
      <c r="S38" s="33"/>
      <c r="W38" s="45"/>
      <c r="X38" s="7"/>
      <c r="Y38" s="7"/>
      <c r="Z38" s="46"/>
      <c r="AA38" s="7"/>
      <c r="AB38" s="7"/>
      <c r="AD38" s="7"/>
    </row>
    <row r="39" spans="1:30" ht="16.5" thickTop="1" thickBot="1">
      <c r="A39" s="48" t="s">
        <v>29</v>
      </c>
      <c r="B39" s="179"/>
      <c r="C39" s="49">
        <f>SUM(C15:C38)</f>
        <v>-3060000</v>
      </c>
      <c r="D39" s="49">
        <f>SUM(D15:D38)</f>
        <v>-3000000</v>
      </c>
      <c r="E39" s="49">
        <f>SUM(E15:E38)</f>
        <v>-60000.000000000007</v>
      </c>
      <c r="F39" s="50" t="s">
        <v>30</v>
      </c>
      <c r="G39" s="51" t="s">
        <v>30</v>
      </c>
      <c r="H39" s="52"/>
      <c r="I39" s="53" t="s">
        <v>30</v>
      </c>
      <c r="J39" s="54" t="s">
        <v>30</v>
      </c>
      <c r="K39" s="55" t="s">
        <v>30</v>
      </c>
      <c r="L39" s="56" t="s">
        <v>30</v>
      </c>
      <c r="M39" s="54" t="s">
        <v>30</v>
      </c>
      <c r="N39" s="197">
        <f>SUM(N13:N38)</f>
        <v>1005220.7903824693</v>
      </c>
      <c r="O39" s="58">
        <f>SUM(O13:O38)</f>
        <v>60000.000000000007</v>
      </c>
      <c r="P39" s="59">
        <f>SUM(P13:P38)</f>
        <v>945220.79038246942</v>
      </c>
      <c r="Q39" s="60">
        <f>SUM(Q16:Q38)</f>
        <v>0</v>
      </c>
      <c r="R39" s="61" t="s">
        <v>24</v>
      </c>
      <c r="S39" s="33"/>
      <c r="T39" s="62">
        <f>SUM(T13:T38)</f>
        <v>30000</v>
      </c>
      <c r="Y39" s="7"/>
      <c r="AA39" s="7"/>
      <c r="AB39" s="7"/>
    </row>
    <row r="40" spans="1:30">
      <c r="D40" s="7"/>
      <c r="E40" s="7"/>
      <c r="O40" s="63"/>
      <c r="P40" s="64"/>
      <c r="Q40" s="65"/>
      <c r="AA40" s="7"/>
    </row>
    <row r="41" spans="1:30">
      <c r="A41" s="189" t="s">
        <v>56</v>
      </c>
      <c r="B41" s="189"/>
      <c r="I41" s="190"/>
      <c r="L41" s="190"/>
      <c r="O41" s="190">
        <f>O39+E39</f>
        <v>0</v>
      </c>
      <c r="P41" s="190">
        <f>P39+L13</f>
        <v>1.0209623724222183E-7</v>
      </c>
      <c r="Q41" s="65"/>
      <c r="AA41" s="7"/>
    </row>
    <row r="42" spans="1:30">
      <c r="O42" s="66"/>
      <c r="P42" s="66"/>
      <c r="Q42" s="65"/>
      <c r="AA42" s="7"/>
    </row>
    <row r="43" spans="1:30" ht="15.75" thickBot="1">
      <c r="O43" s="65"/>
      <c r="P43" s="65"/>
      <c r="Q43" s="65"/>
      <c r="AA43" s="7"/>
    </row>
    <row r="44" spans="1:30" ht="15.75" thickBot="1">
      <c r="F44" s="67"/>
      <c r="H44" s="68" t="e">
        <f>#REF!-#REF!</f>
        <v>#REF!</v>
      </c>
      <c r="O44" s="65"/>
      <c r="P44" s="65"/>
      <c r="Q44" s="65"/>
    </row>
    <row r="45" spans="1:30">
      <c r="H45" s="45" t="e">
        <f>ROUND(NPV(#REF!,#REF!),0)-ROUND(NPV(#REF!,#REF!),0)</f>
        <v>#REF!</v>
      </c>
      <c r="K45">
        <f>D39*0.02*2</f>
        <v>-120000</v>
      </c>
    </row>
    <row r="46" spans="1:30">
      <c r="H46" s="45" t="e">
        <f>ROUND(NPV(#REF!,#REF!)-NPV(#REF!,#REF!),0)</f>
        <v>#REF!</v>
      </c>
    </row>
    <row r="47" spans="1:30">
      <c r="H47" s="45"/>
    </row>
  </sheetData>
  <mergeCells count="23">
    <mergeCell ref="O2:Q2"/>
    <mergeCell ref="A9:A12"/>
    <mergeCell ref="C9:F10"/>
    <mergeCell ref="G9:G12"/>
    <mergeCell ref="I9:M10"/>
    <mergeCell ref="N9:P10"/>
    <mergeCell ref="Q9:Q10"/>
    <mergeCell ref="M11:M12"/>
    <mergeCell ref="J11:J12"/>
    <mergeCell ref="K11:K12"/>
    <mergeCell ref="L11:L12"/>
    <mergeCell ref="C2:E2"/>
    <mergeCell ref="I2:M2"/>
    <mergeCell ref="D11:D12"/>
    <mergeCell ref="E11:E12"/>
    <mergeCell ref="F11:F12"/>
    <mergeCell ref="R9:R12"/>
    <mergeCell ref="Y9:Z12"/>
    <mergeCell ref="H11:H12"/>
    <mergeCell ref="I11:I12"/>
    <mergeCell ref="O11:O12"/>
    <mergeCell ref="P11:P12"/>
    <mergeCell ref="Q11:Q1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2:Z48"/>
  <sheetViews>
    <sheetView workbookViewId="0">
      <selection activeCell="I23" sqref="I23"/>
    </sheetView>
  </sheetViews>
  <sheetFormatPr defaultRowHeight="15"/>
  <cols>
    <col min="1" max="1" width="12" customWidth="1"/>
    <col min="2" max="3" width="14.7109375" customWidth="1"/>
    <col min="4" max="4" width="13.140625" customWidth="1"/>
    <col min="5" max="5" width="10" customWidth="1"/>
    <col min="6" max="6" width="9.42578125" hidden="1" customWidth="1"/>
    <col min="7" max="7" width="13.85546875" hidden="1" customWidth="1"/>
    <col min="8" max="8" width="13.5703125" customWidth="1"/>
    <col min="9" max="9" width="12.7109375" customWidth="1"/>
    <col min="10" max="10" width="13.42578125" customWidth="1"/>
    <col min="11" max="11" width="12.7109375" customWidth="1"/>
    <col min="12" max="12" width="9.28515625" hidden="1" customWidth="1"/>
    <col min="13" max="13" width="12.28515625" customWidth="1"/>
    <col min="14" max="14" width="15.42578125" customWidth="1"/>
    <col min="15" max="15" width="14.140625" customWidth="1"/>
    <col min="16" max="16" width="11.42578125" hidden="1" customWidth="1"/>
    <col min="17" max="17" width="11.28515625" hidden="1" customWidth="1"/>
    <col min="18" max="18" width="0.7109375" customWidth="1"/>
    <col min="19" max="19" width="12.140625" style="2" hidden="1" customWidth="1"/>
    <col min="20" max="21" width="0" hidden="1" customWidth="1"/>
    <col min="22" max="22" width="11.28515625" hidden="1" customWidth="1"/>
    <col min="23" max="24" width="0" hidden="1" customWidth="1"/>
    <col min="25" max="25" width="49.28515625" hidden="1" customWidth="1"/>
  </cols>
  <sheetData>
    <row r="2" spans="1:26">
      <c r="B2" s="199"/>
      <c r="C2" s="199"/>
      <c r="D2" s="199"/>
      <c r="H2" s="199"/>
      <c r="I2" s="199"/>
      <c r="J2" s="199"/>
      <c r="K2" s="199"/>
      <c r="L2" s="199"/>
      <c r="N2" s="199" t="s">
        <v>0</v>
      </c>
      <c r="O2" s="199"/>
      <c r="P2" s="199"/>
      <c r="Q2" s="1"/>
    </row>
    <row r="3" spans="1:26" ht="4.5" customHeight="1"/>
    <row r="4" spans="1:26">
      <c r="B4" s="3"/>
      <c r="N4" s="3" t="s">
        <v>1</v>
      </c>
      <c r="O4" s="4"/>
    </row>
    <row r="5" spans="1:26" ht="4.5" customHeight="1">
      <c r="B5" s="3"/>
    </row>
    <row r="6" spans="1:26">
      <c r="B6" s="3"/>
      <c r="N6" s="3" t="s">
        <v>2</v>
      </c>
      <c r="O6" s="4" t="e">
        <f>#REF!</f>
        <v>#REF!</v>
      </c>
      <c r="S6" s="5"/>
      <c r="T6" s="6"/>
    </row>
    <row r="7" spans="1:26" ht="4.5" customHeight="1">
      <c r="B7" s="3"/>
    </row>
    <row r="8" spans="1:26" ht="15.75" thickBot="1">
      <c r="C8" s="7"/>
      <c r="D8" s="7"/>
      <c r="H8" s="7"/>
      <c r="I8" s="7"/>
    </row>
    <row r="9" spans="1:26" ht="13.5" customHeight="1" thickTop="1">
      <c r="A9" s="200" t="s">
        <v>3</v>
      </c>
      <c r="B9" s="203" t="s">
        <v>4</v>
      </c>
      <c r="C9" s="204"/>
      <c r="D9" s="204"/>
      <c r="E9" s="205"/>
      <c r="F9" s="209" t="s">
        <v>5</v>
      </c>
      <c r="G9" s="8"/>
      <c r="H9" s="212" t="s">
        <v>6</v>
      </c>
      <c r="I9" s="213"/>
      <c r="J9" s="213"/>
      <c r="K9" s="213"/>
      <c r="L9" s="214"/>
      <c r="M9" s="218" t="s">
        <v>7</v>
      </c>
      <c r="N9" s="219"/>
      <c r="O9" s="220"/>
      <c r="P9" s="224" t="s">
        <v>8</v>
      </c>
      <c r="Q9" s="232" t="s">
        <v>9</v>
      </c>
      <c r="R9" s="9"/>
      <c r="X9" s="235" t="s">
        <v>10</v>
      </c>
      <c r="Y9" s="235"/>
    </row>
    <row r="10" spans="1:26" ht="13.5" customHeight="1">
      <c r="A10" s="201"/>
      <c r="B10" s="206"/>
      <c r="C10" s="207"/>
      <c r="D10" s="207"/>
      <c r="E10" s="208"/>
      <c r="F10" s="210"/>
      <c r="G10" s="10"/>
      <c r="H10" s="215"/>
      <c r="I10" s="216"/>
      <c r="J10" s="216"/>
      <c r="K10" s="216"/>
      <c r="L10" s="217"/>
      <c r="M10" s="221"/>
      <c r="N10" s="222"/>
      <c r="O10" s="223"/>
      <c r="P10" s="225"/>
      <c r="Q10" s="233"/>
      <c r="R10" s="9"/>
      <c r="S10" s="11"/>
      <c r="X10" s="235"/>
      <c r="Y10" s="235"/>
    </row>
    <row r="11" spans="1:26" ht="13.5" customHeight="1">
      <c r="A11" s="201"/>
      <c r="B11" s="12"/>
      <c r="C11" s="228" t="s">
        <v>11</v>
      </c>
      <c r="D11" s="228" t="s">
        <v>12</v>
      </c>
      <c r="E11" s="230" t="s">
        <v>13</v>
      </c>
      <c r="F11" s="210"/>
      <c r="G11" s="210" t="s">
        <v>5</v>
      </c>
      <c r="H11" s="236" t="s">
        <v>14</v>
      </c>
      <c r="I11" s="228" t="s">
        <v>11</v>
      </c>
      <c r="J11" s="228" t="s">
        <v>15</v>
      </c>
      <c r="K11" s="228" t="s">
        <v>16</v>
      </c>
      <c r="L11" s="226" t="s">
        <v>17</v>
      </c>
      <c r="M11" s="13"/>
      <c r="N11" s="228" t="s">
        <v>18</v>
      </c>
      <c r="O11" s="238" t="s">
        <v>19</v>
      </c>
      <c r="P11" s="240" t="s">
        <v>20</v>
      </c>
      <c r="Q11" s="233"/>
      <c r="R11" s="9"/>
      <c r="S11" s="14"/>
      <c r="X11" s="235"/>
      <c r="Y11" s="235"/>
    </row>
    <row r="12" spans="1:26" ht="66.75" customHeight="1" thickBot="1">
      <c r="A12" s="202"/>
      <c r="B12" s="15" t="s">
        <v>14</v>
      </c>
      <c r="C12" s="229"/>
      <c r="D12" s="229"/>
      <c r="E12" s="231"/>
      <c r="F12" s="211"/>
      <c r="G12" s="211"/>
      <c r="H12" s="237"/>
      <c r="I12" s="229"/>
      <c r="J12" s="229"/>
      <c r="K12" s="229"/>
      <c r="L12" s="227"/>
      <c r="M12" s="16" t="s">
        <v>21</v>
      </c>
      <c r="N12" s="229"/>
      <c r="O12" s="239"/>
      <c r="P12" s="241"/>
      <c r="Q12" s="234"/>
      <c r="R12" s="17"/>
      <c r="V12" t="s">
        <v>22</v>
      </c>
      <c r="W12" t="s">
        <v>23</v>
      </c>
      <c r="X12" s="235"/>
      <c r="Y12" s="235"/>
    </row>
    <row r="13" spans="1:26" ht="16.5" thickTop="1" thickBot="1">
      <c r="A13" s="69">
        <v>40985</v>
      </c>
      <c r="B13" s="70"/>
      <c r="C13" s="71"/>
      <c r="D13" s="71"/>
      <c r="E13" s="72"/>
      <c r="F13" s="73"/>
      <c r="G13" s="74"/>
      <c r="H13" s="75"/>
      <c r="I13" s="76"/>
      <c r="J13" s="71"/>
      <c r="K13" s="77"/>
      <c r="L13" s="78"/>
      <c r="M13" s="79"/>
      <c r="N13" s="80"/>
      <c r="O13" s="81"/>
      <c r="P13" s="31" t="s">
        <v>24</v>
      </c>
      <c r="Q13" s="32" t="s">
        <v>24</v>
      </c>
      <c r="R13" s="33"/>
      <c r="S13" s="2">
        <f>N12+N13-D13</f>
        <v>0</v>
      </c>
      <c r="U13" s="34"/>
      <c r="X13" s="35" t="s">
        <v>25</v>
      </c>
      <c r="Y13" s="36" t="s">
        <v>26</v>
      </c>
    </row>
    <row r="14" spans="1:26" ht="16.5" thickTop="1" thickBot="1">
      <c r="A14" s="69">
        <v>40999</v>
      </c>
      <c r="B14" s="82"/>
      <c r="C14" s="80"/>
      <c r="D14" s="80"/>
      <c r="E14" s="83"/>
      <c r="F14" s="84"/>
      <c r="G14" s="85"/>
      <c r="H14" s="75"/>
      <c r="I14" s="86"/>
      <c r="J14" s="80"/>
      <c r="K14" s="87"/>
      <c r="L14" s="88"/>
      <c r="M14" s="79"/>
      <c r="N14" s="80"/>
      <c r="O14" s="81"/>
      <c r="P14" s="43">
        <v>0</v>
      </c>
      <c r="Q14" s="44"/>
      <c r="R14" s="33"/>
      <c r="T14" s="7">
        <f>O14</f>
        <v>0</v>
      </c>
      <c r="U14" s="7">
        <f>M14</f>
        <v>0</v>
      </c>
      <c r="V14" s="45" t="e">
        <f>N14+N12-#REF!</f>
        <v>#REF!</v>
      </c>
      <c r="W14" s="7" t="e">
        <f>J14-#REF!</f>
        <v>#REF!</v>
      </c>
      <c r="X14" s="7">
        <f>ROUND((O12+O14),2)</f>
        <v>0</v>
      </c>
      <c r="Y14" s="46" t="s">
        <v>27</v>
      </c>
      <c r="Z14" s="7"/>
    </row>
    <row r="15" spans="1:26" ht="16.5" thickTop="1" thickBot="1">
      <c r="A15" s="69">
        <v>41019</v>
      </c>
      <c r="B15" s="82"/>
      <c r="C15" s="80"/>
      <c r="D15" s="80"/>
      <c r="E15" s="83"/>
      <c r="F15" s="84"/>
      <c r="G15" s="85"/>
      <c r="H15" s="75"/>
      <c r="I15" s="86"/>
      <c r="J15" s="80"/>
      <c r="K15" s="87"/>
      <c r="L15" s="88"/>
      <c r="M15" s="79"/>
      <c r="N15" s="80"/>
      <c r="O15" s="81"/>
      <c r="P15" s="43">
        <v>0</v>
      </c>
      <c r="Q15" s="44"/>
      <c r="R15" s="33"/>
      <c r="T15" s="7">
        <f>O15</f>
        <v>0</v>
      </c>
      <c r="U15" s="7">
        <f>M15</f>
        <v>0</v>
      </c>
      <c r="V15" s="45" t="e">
        <f>N15+N13-#REF!</f>
        <v>#REF!</v>
      </c>
      <c r="W15" s="7" t="e">
        <f>J15-#REF!</f>
        <v>#REF!</v>
      </c>
      <c r="X15" s="7">
        <f>ROUND((O13+O15),2)</f>
        <v>0</v>
      </c>
      <c r="Y15" s="46" t="s">
        <v>27</v>
      </c>
      <c r="Z15" s="7"/>
    </row>
    <row r="16" spans="1:26" ht="15.75" thickTop="1">
      <c r="A16" s="69">
        <v>41029</v>
      </c>
      <c r="B16" s="82"/>
      <c r="C16" s="80"/>
      <c r="D16" s="80"/>
      <c r="E16" s="83"/>
      <c r="F16" s="84"/>
      <c r="G16" s="85"/>
      <c r="H16" s="75"/>
      <c r="I16" s="86"/>
      <c r="J16" s="80"/>
      <c r="K16" s="87"/>
      <c r="L16" s="88"/>
      <c r="M16" s="79"/>
      <c r="N16" s="80"/>
      <c r="O16" s="81"/>
      <c r="P16" s="43">
        <v>0</v>
      </c>
      <c r="Q16" s="44" t="e">
        <f>M16/H13</f>
        <v>#DIV/0!</v>
      </c>
      <c r="R16" s="33"/>
      <c r="S16" s="2">
        <f>N15+N16-D16</f>
        <v>0</v>
      </c>
      <c r="T16" s="7">
        <f>O16</f>
        <v>0</v>
      </c>
      <c r="U16" s="7">
        <f>M16</f>
        <v>0</v>
      </c>
      <c r="V16" s="45" t="e">
        <f>N16-#REF!</f>
        <v>#REF!</v>
      </c>
      <c r="W16" s="7" t="e">
        <f>J16-#REF!</f>
        <v>#REF!</v>
      </c>
      <c r="X16" s="7"/>
      <c r="Z16" s="7"/>
    </row>
    <row r="17" spans="1:26">
      <c r="A17" s="69">
        <v>41049</v>
      </c>
      <c r="B17" s="82"/>
      <c r="C17" s="80"/>
      <c r="D17" s="80"/>
      <c r="E17" s="83"/>
      <c r="F17" s="84"/>
      <c r="G17" s="89"/>
      <c r="H17" s="75">
        <f>'Example 3 modif old'!H17</f>
        <v>2891406.5363374827</v>
      </c>
      <c r="I17" s="86">
        <f>'Example 3 modif old'!I17</f>
        <v>2920000</v>
      </c>
      <c r="J17" s="80">
        <f>'Example 3 modif old'!J17</f>
        <v>0</v>
      </c>
      <c r="K17" s="80">
        <f>'Example 3 modif old'!K17</f>
        <v>-28593.463662517202</v>
      </c>
      <c r="L17" s="88"/>
      <c r="M17" s="79"/>
      <c r="N17" s="80"/>
      <c r="O17" s="81"/>
      <c r="P17" s="43">
        <v>0</v>
      </c>
      <c r="Q17" s="44"/>
      <c r="R17" s="33"/>
      <c r="V17" s="45" t="e">
        <f>N17-#REF!</f>
        <v>#REF!</v>
      </c>
      <c r="W17" s="7" t="e">
        <f>J17-#REF!</f>
        <v>#REF!</v>
      </c>
      <c r="X17" s="7">
        <f>ROUND((O16+O17),2)</f>
        <v>0</v>
      </c>
      <c r="Y17" s="46" t="s">
        <v>28</v>
      </c>
      <c r="Z17" s="7"/>
    </row>
    <row r="18" spans="1:26">
      <c r="A18" s="69"/>
      <c r="B18" s="82"/>
      <c r="C18" s="80"/>
      <c r="D18" s="80"/>
      <c r="E18" s="83"/>
      <c r="F18" s="84"/>
      <c r="G18" s="89"/>
      <c r="H18" s="75"/>
      <c r="I18" s="86"/>
      <c r="J18" s="80"/>
      <c r="K18" s="87"/>
      <c r="L18" s="88"/>
      <c r="M18" s="79"/>
      <c r="N18" s="80"/>
      <c r="O18" s="81"/>
      <c r="P18" s="43"/>
      <c r="Q18" s="44"/>
      <c r="R18" s="33"/>
      <c r="V18" s="45"/>
      <c r="W18" s="7"/>
      <c r="X18" s="7"/>
      <c r="Y18" s="46"/>
      <c r="Z18" s="7"/>
    </row>
    <row r="19" spans="1:26">
      <c r="A19" s="90">
        <f>A17</f>
        <v>41049</v>
      </c>
      <c r="B19" s="82">
        <f>-H17</f>
        <v>-2891406.5363374827</v>
      </c>
      <c r="C19" s="80"/>
      <c r="D19" s="80"/>
      <c r="E19" s="83"/>
      <c r="F19" s="84"/>
      <c r="G19" s="89"/>
      <c r="H19" s="24" t="e">
        <f>(XNPV($O$6,B19:$B$39,A19:$A$39)-B19)*((1+$O$6)^(1/365))</f>
        <v>#REF!</v>
      </c>
      <c r="I19" s="91">
        <f>I17</f>
        <v>2920000</v>
      </c>
      <c r="J19" s="29">
        <f>I19*O4/360</f>
        <v>0</v>
      </c>
      <c r="K19" s="42" t="e">
        <f>K17+O19</f>
        <v>#REF!</v>
      </c>
      <c r="L19" s="88"/>
      <c r="M19" s="28" t="e">
        <f>H19-H17+0</f>
        <v>#REF!</v>
      </c>
      <c r="N19" s="92">
        <f>I19*O4/360</f>
        <v>0</v>
      </c>
      <c r="O19" s="30" t="e">
        <f t="shared" ref="O19:O39" si="0">M19-N19</f>
        <v>#REF!</v>
      </c>
      <c r="P19" s="43"/>
      <c r="Q19" s="44"/>
      <c r="R19" s="33"/>
      <c r="V19" s="45"/>
      <c r="W19" s="7"/>
      <c r="X19" s="7"/>
      <c r="Y19" s="46"/>
      <c r="Z19" s="7"/>
    </row>
    <row r="20" spans="1:26">
      <c r="A20" s="18">
        <v>41060</v>
      </c>
      <c r="B20" s="37" t="e">
        <f t="shared" ref="B20:B39" si="1">SUM(C20:E20)</f>
        <v>#REF!</v>
      </c>
      <c r="C20" s="29" t="e">
        <f>[1]CF!D12</f>
        <v>#REF!</v>
      </c>
      <c r="D20" s="29">
        <v>0</v>
      </c>
      <c r="E20" s="38"/>
      <c r="F20" s="39"/>
      <c r="G20" s="47"/>
      <c r="H20" s="24" t="e">
        <f>(XNPV($O$6,B20:$B$39,A20:$A$39)-B20)*((1+$O$6)^(1/365))</f>
        <v>#REF!</v>
      </c>
      <c r="I20" s="41" t="e">
        <f>I17-C20</f>
        <v>#REF!</v>
      </c>
      <c r="J20" s="29">
        <f>J19+N20-D20</f>
        <v>0</v>
      </c>
      <c r="K20" s="42" t="e">
        <f>K19+O20</f>
        <v>#REF!</v>
      </c>
      <c r="L20" s="33">
        <f t="shared" ref="L20:L39" si="2">P20</f>
        <v>0</v>
      </c>
      <c r="M20" s="28" t="e">
        <f>H20-H19+B20</f>
        <v>#REF!</v>
      </c>
      <c r="N20" s="29">
        <f>I17*O$4*(A20-A17)/360</f>
        <v>0</v>
      </c>
      <c r="O20" s="30" t="e">
        <f t="shared" si="0"/>
        <v>#REF!</v>
      </c>
      <c r="P20" s="43">
        <v>0</v>
      </c>
      <c r="Q20" s="44" t="e">
        <f>M20/H16</f>
        <v>#REF!</v>
      </c>
      <c r="R20" s="33"/>
      <c r="S20" s="2">
        <f>N17+N20-D20</f>
        <v>0</v>
      </c>
      <c r="T20" s="7" t="e">
        <f>O20+O17</f>
        <v>#REF!</v>
      </c>
      <c r="U20" s="7" t="e">
        <f>M17+M20</f>
        <v>#REF!</v>
      </c>
      <c r="V20" s="45" t="e">
        <f>N20-#REF!</f>
        <v>#REF!</v>
      </c>
      <c r="W20" s="7" t="e">
        <f>J20-#REF!</f>
        <v>#REF!</v>
      </c>
      <c r="X20" s="7"/>
      <c r="Z20" s="7"/>
    </row>
    <row r="21" spans="1:26">
      <c r="A21" s="18">
        <v>41080</v>
      </c>
      <c r="B21" s="37">
        <f t="shared" si="1"/>
        <v>4000</v>
      </c>
      <c r="C21" s="29">
        <v>4000</v>
      </c>
      <c r="D21" s="29">
        <f>I17*O$4*(A21-A17)/360</f>
        <v>0</v>
      </c>
      <c r="E21" s="38"/>
      <c r="F21" s="39"/>
      <c r="G21" s="47"/>
      <c r="H21" s="24" t="e">
        <f>(XNPV($O$6,B21:$B$39,A21:$A$39)-B21)*((1+$O$6)^(1/365))</f>
        <v>#REF!</v>
      </c>
      <c r="I21" s="41" t="e">
        <f t="shared" ref="I21:I39" si="3">I20-C21</f>
        <v>#REF!</v>
      </c>
      <c r="J21" s="29" t="e">
        <f t="shared" ref="J21:J39" si="4">J20+N21-D21</f>
        <v>#REF!</v>
      </c>
      <c r="K21" s="42" t="e">
        <f t="shared" ref="K21:K39" si="5">K20+O21</f>
        <v>#REF!</v>
      </c>
      <c r="L21" s="33">
        <f t="shared" si="2"/>
        <v>0</v>
      </c>
      <c r="M21" s="28" t="e">
        <f t="shared" ref="M21:M39" si="6">H21-H20+B21</f>
        <v>#REF!</v>
      </c>
      <c r="N21" s="29" t="e">
        <f t="shared" ref="N21" si="7">I20*O$4*(A21-A20-1)/360</f>
        <v>#REF!</v>
      </c>
      <c r="O21" s="30" t="e">
        <f t="shared" si="0"/>
        <v>#REF!</v>
      </c>
      <c r="P21" s="43">
        <v>0</v>
      </c>
      <c r="Q21" s="44"/>
      <c r="R21" s="33"/>
      <c r="V21" s="45" t="e">
        <f>N21-#REF!</f>
        <v>#REF!</v>
      </c>
      <c r="W21" s="7" t="e">
        <f>J21-#REF!</f>
        <v>#REF!</v>
      </c>
      <c r="X21" s="7" t="e">
        <f>ROUND((O20+O21),2)</f>
        <v>#REF!</v>
      </c>
      <c r="Y21" s="46" t="s">
        <v>28</v>
      </c>
      <c r="Z21" s="7"/>
    </row>
    <row r="22" spans="1:26">
      <c r="A22" s="18">
        <v>41090</v>
      </c>
      <c r="B22" s="37" t="e">
        <f t="shared" si="1"/>
        <v>#REF!</v>
      </c>
      <c r="C22" s="29" t="e">
        <f>[1]CF!D14</f>
        <v>#REF!</v>
      </c>
      <c r="D22" s="29">
        <v>0</v>
      </c>
      <c r="E22" s="38"/>
      <c r="F22" s="39"/>
      <c r="G22" s="47"/>
      <c r="H22" s="24" t="e">
        <f>(XNPV($O$6,B22:$B$39,A22:$A$39)-B22)*((1+$O$6)^(1/365))</f>
        <v>#REF!</v>
      </c>
      <c r="I22" s="41" t="e">
        <f t="shared" si="3"/>
        <v>#REF!</v>
      </c>
      <c r="J22" s="29" t="e">
        <f t="shared" si="4"/>
        <v>#REF!</v>
      </c>
      <c r="K22" s="42" t="e">
        <f t="shared" si="5"/>
        <v>#REF!</v>
      </c>
      <c r="L22" s="33">
        <f t="shared" si="2"/>
        <v>0</v>
      </c>
      <c r="M22" s="28" t="e">
        <f t="shared" si="6"/>
        <v>#REF!</v>
      </c>
      <c r="N22" s="29" t="e">
        <f t="shared" ref="N22" si="8">I21*O$4*(A22-A21+1)/360</f>
        <v>#REF!</v>
      </c>
      <c r="O22" s="30" t="e">
        <f t="shared" si="0"/>
        <v>#REF!</v>
      </c>
      <c r="P22" s="43">
        <v>0</v>
      </c>
      <c r="Q22" s="44" t="e">
        <f>M22/H20</f>
        <v>#REF!</v>
      </c>
      <c r="R22" s="33"/>
      <c r="S22" s="2" t="e">
        <f>N21+N22-D22</f>
        <v>#REF!</v>
      </c>
      <c r="T22" s="7" t="e">
        <f>O22+O21</f>
        <v>#REF!</v>
      </c>
      <c r="U22" s="7" t="e">
        <f>M21+M22</f>
        <v>#REF!</v>
      </c>
      <c r="V22" s="45" t="e">
        <f>N22-#REF!</f>
        <v>#REF!</v>
      </c>
      <c r="W22" s="7" t="e">
        <f>J22-#REF!</f>
        <v>#REF!</v>
      </c>
      <c r="X22" s="7"/>
      <c r="Z22" s="7"/>
    </row>
    <row r="23" spans="1:26">
      <c r="A23" s="18">
        <v>41110</v>
      </c>
      <c r="B23" s="37" t="e">
        <f t="shared" si="1"/>
        <v>#REF!</v>
      </c>
      <c r="C23" s="29">
        <v>4000</v>
      </c>
      <c r="D23" s="29" t="e">
        <f>I21*O$4*(A23-A21)/360</f>
        <v>#REF!</v>
      </c>
      <c r="E23" s="38"/>
      <c r="F23" s="39"/>
      <c r="G23" s="47"/>
      <c r="H23" s="24" t="e">
        <f>(XNPV($O$6,B23:$B$39,A23:$A$39)-B23)*((1+$O$6)^(1/365))</f>
        <v>#REF!</v>
      </c>
      <c r="I23" s="41" t="e">
        <f t="shared" si="3"/>
        <v>#REF!</v>
      </c>
      <c r="J23" s="29" t="e">
        <f t="shared" si="4"/>
        <v>#REF!</v>
      </c>
      <c r="K23" s="42" t="e">
        <f t="shared" si="5"/>
        <v>#REF!</v>
      </c>
      <c r="L23" s="33">
        <f t="shared" si="2"/>
        <v>0</v>
      </c>
      <c r="M23" s="28" t="e">
        <f t="shared" si="6"/>
        <v>#REF!</v>
      </c>
      <c r="N23" s="29" t="e">
        <f t="shared" ref="N23" si="9">I22*O$4*(A23-A22-1)/360</f>
        <v>#REF!</v>
      </c>
      <c r="O23" s="30" t="e">
        <f t="shared" si="0"/>
        <v>#REF!</v>
      </c>
      <c r="P23" s="43">
        <v>0</v>
      </c>
      <c r="Q23" s="44"/>
      <c r="R23" s="33"/>
      <c r="V23" s="45" t="e">
        <f>N23-#REF!</f>
        <v>#REF!</v>
      </c>
      <c r="W23" s="7" t="e">
        <f>J23-#REF!</f>
        <v>#REF!</v>
      </c>
      <c r="X23" s="7" t="e">
        <f>ROUND((O22+O23),2)</f>
        <v>#REF!</v>
      </c>
      <c r="Y23" s="46" t="s">
        <v>28</v>
      </c>
      <c r="Z23" s="7"/>
    </row>
    <row r="24" spans="1:26">
      <c r="A24" s="18">
        <v>41121</v>
      </c>
      <c r="B24" s="37" t="e">
        <f t="shared" si="1"/>
        <v>#REF!</v>
      </c>
      <c r="C24" s="29" t="e">
        <f>[1]CF!D16</f>
        <v>#REF!</v>
      </c>
      <c r="D24" s="29">
        <v>0</v>
      </c>
      <c r="E24" s="38"/>
      <c r="F24" s="39"/>
      <c r="G24" s="47"/>
      <c r="H24" s="24" t="e">
        <f>(XNPV($O$6,B24:$B$39,A24:$A$39)-B24)*((1+$O$6)^(1/365))</f>
        <v>#REF!</v>
      </c>
      <c r="I24" s="41" t="e">
        <f t="shared" si="3"/>
        <v>#REF!</v>
      </c>
      <c r="J24" s="29" t="e">
        <f t="shared" si="4"/>
        <v>#REF!</v>
      </c>
      <c r="K24" s="42" t="e">
        <f t="shared" si="5"/>
        <v>#REF!</v>
      </c>
      <c r="L24" s="33">
        <f t="shared" si="2"/>
        <v>0</v>
      </c>
      <c r="M24" s="28" t="e">
        <f t="shared" si="6"/>
        <v>#REF!</v>
      </c>
      <c r="N24" s="29" t="e">
        <f t="shared" ref="N24" si="10">I23*O$4*(A24-A23+1)/360</f>
        <v>#REF!</v>
      </c>
      <c r="O24" s="30" t="e">
        <f t="shared" si="0"/>
        <v>#REF!</v>
      </c>
      <c r="P24" s="43">
        <v>0</v>
      </c>
      <c r="Q24" s="44" t="e">
        <f>M24/H22</f>
        <v>#REF!</v>
      </c>
      <c r="R24" s="33"/>
      <c r="S24" s="2" t="e">
        <f>N23+N24-D24</f>
        <v>#REF!</v>
      </c>
      <c r="T24" s="7" t="e">
        <f>O24+O23</f>
        <v>#REF!</v>
      </c>
      <c r="U24" s="7" t="e">
        <f>M23+M24</f>
        <v>#REF!</v>
      </c>
      <c r="V24" s="45" t="e">
        <f>N24-#REF!</f>
        <v>#REF!</v>
      </c>
      <c r="W24" s="7" t="e">
        <f>J24-#REF!</f>
        <v>#REF!</v>
      </c>
      <c r="X24" s="7"/>
      <c r="Z24" s="7"/>
    </row>
    <row r="25" spans="1:26">
      <c r="A25" s="18">
        <v>41141</v>
      </c>
      <c r="B25" s="37" t="e">
        <f t="shared" si="1"/>
        <v>#REF!</v>
      </c>
      <c r="C25" s="29">
        <v>4000</v>
      </c>
      <c r="D25" s="29" t="e">
        <f>I23*O$4*(A25-A23)/360</f>
        <v>#REF!</v>
      </c>
      <c r="E25" s="38"/>
      <c r="F25" s="39"/>
      <c r="G25" s="47"/>
      <c r="H25" s="24" t="e">
        <f>(XNPV($O$6,B25:$B$39,A25:$A$39)-B25)*((1+$O$6)^(1/365))</f>
        <v>#REF!</v>
      </c>
      <c r="I25" s="41" t="e">
        <f t="shared" si="3"/>
        <v>#REF!</v>
      </c>
      <c r="J25" s="29" t="e">
        <f t="shared" si="4"/>
        <v>#REF!</v>
      </c>
      <c r="K25" s="42" t="e">
        <f t="shared" si="5"/>
        <v>#REF!</v>
      </c>
      <c r="L25" s="33">
        <f t="shared" si="2"/>
        <v>0</v>
      </c>
      <c r="M25" s="28" t="e">
        <f t="shared" si="6"/>
        <v>#REF!</v>
      </c>
      <c r="N25" s="29" t="e">
        <f t="shared" ref="N25" si="11">I24*O$4*(A25-A24-1)/360</f>
        <v>#REF!</v>
      </c>
      <c r="O25" s="30" t="e">
        <f t="shared" si="0"/>
        <v>#REF!</v>
      </c>
      <c r="P25" s="43">
        <v>0</v>
      </c>
      <c r="Q25" s="44"/>
      <c r="R25" s="33"/>
      <c r="V25" s="45" t="e">
        <f>N25-#REF!</f>
        <v>#REF!</v>
      </c>
      <c r="W25" s="7" t="e">
        <f>J25-#REF!</f>
        <v>#REF!</v>
      </c>
      <c r="X25" s="7" t="e">
        <f>ROUND((O24+O25),2)</f>
        <v>#REF!</v>
      </c>
      <c r="Y25" s="46" t="s">
        <v>28</v>
      </c>
      <c r="Z25" s="7"/>
    </row>
    <row r="26" spans="1:26">
      <c r="A26" s="18">
        <v>41152</v>
      </c>
      <c r="B26" s="37" t="e">
        <f t="shared" si="1"/>
        <v>#REF!</v>
      </c>
      <c r="C26" s="29" t="e">
        <f>[1]CF!D18</f>
        <v>#REF!</v>
      </c>
      <c r="D26" s="29">
        <v>0</v>
      </c>
      <c r="E26" s="38"/>
      <c r="F26" s="39"/>
      <c r="G26" s="47"/>
      <c r="H26" s="24" t="e">
        <f>(XNPV($O$6,B26:$B$39,A26:$A$39)-B26)*((1+$O$6)^(1/365))</f>
        <v>#REF!</v>
      </c>
      <c r="I26" s="41" t="e">
        <f t="shared" si="3"/>
        <v>#REF!</v>
      </c>
      <c r="J26" s="29" t="e">
        <f t="shared" si="4"/>
        <v>#REF!</v>
      </c>
      <c r="K26" s="42" t="e">
        <f t="shared" si="5"/>
        <v>#REF!</v>
      </c>
      <c r="L26" s="33">
        <f t="shared" si="2"/>
        <v>0</v>
      </c>
      <c r="M26" s="28" t="e">
        <f t="shared" si="6"/>
        <v>#REF!</v>
      </c>
      <c r="N26" s="29" t="e">
        <f t="shared" ref="N26" si="12">I25*O$4*(A26-A25+1)/360</f>
        <v>#REF!</v>
      </c>
      <c r="O26" s="30" t="e">
        <f>M26-N26</f>
        <v>#REF!</v>
      </c>
      <c r="P26" s="43">
        <v>0</v>
      </c>
      <c r="Q26" s="44" t="e">
        <f>M26/H24</f>
        <v>#REF!</v>
      </c>
      <c r="R26" s="33"/>
      <c r="S26" s="2" t="e">
        <f>N25+N26-D26</f>
        <v>#REF!</v>
      </c>
      <c r="T26" s="7" t="e">
        <f>O26+O25</f>
        <v>#REF!</v>
      </c>
      <c r="U26" s="7" t="e">
        <f>M25+M26</f>
        <v>#REF!</v>
      </c>
      <c r="V26" s="45" t="e">
        <f>N26-#REF!</f>
        <v>#REF!</v>
      </c>
      <c r="W26" s="7" t="e">
        <f>J26-#REF!</f>
        <v>#REF!</v>
      </c>
      <c r="X26" s="7"/>
      <c r="Z26" s="7"/>
    </row>
    <row r="27" spans="1:26">
      <c r="A27" s="18">
        <v>41172</v>
      </c>
      <c r="B27" s="37" t="e">
        <f t="shared" si="1"/>
        <v>#REF!</v>
      </c>
      <c r="C27" s="29">
        <v>4000</v>
      </c>
      <c r="D27" s="29" t="e">
        <f>I25*O$4*(A27-A25)/360</f>
        <v>#REF!</v>
      </c>
      <c r="E27" s="38"/>
      <c r="F27" s="39"/>
      <c r="G27" s="47"/>
      <c r="H27" s="24" t="e">
        <f>(XNPV($O$6,B27:$B$39,A27:$A$39)-B27)*((1+$O$6)^(1/365))</f>
        <v>#REF!</v>
      </c>
      <c r="I27" s="41" t="e">
        <f t="shared" si="3"/>
        <v>#REF!</v>
      </c>
      <c r="J27" s="29" t="e">
        <f t="shared" si="4"/>
        <v>#REF!</v>
      </c>
      <c r="K27" s="42" t="e">
        <f t="shared" si="5"/>
        <v>#REF!</v>
      </c>
      <c r="L27" s="33">
        <f t="shared" si="2"/>
        <v>0</v>
      </c>
      <c r="M27" s="28" t="e">
        <f t="shared" si="6"/>
        <v>#REF!</v>
      </c>
      <c r="N27" s="29" t="e">
        <f t="shared" ref="N27" si="13">I26*O$4*(A27-A26-1)/360</f>
        <v>#REF!</v>
      </c>
      <c r="O27" s="30" t="e">
        <f t="shared" si="0"/>
        <v>#REF!</v>
      </c>
      <c r="P27" s="43">
        <v>0</v>
      </c>
      <c r="Q27" s="44"/>
      <c r="R27" s="33"/>
      <c r="V27" s="45" t="e">
        <f>N27-#REF!</f>
        <v>#REF!</v>
      </c>
      <c r="W27" s="7" t="e">
        <f>J27-#REF!</f>
        <v>#REF!</v>
      </c>
      <c r="X27" s="7" t="e">
        <f>ROUND((O26+O27),2)</f>
        <v>#REF!</v>
      </c>
      <c r="Y27" s="46" t="s">
        <v>28</v>
      </c>
      <c r="Z27" s="7"/>
    </row>
    <row r="28" spans="1:26">
      <c r="A28" s="18">
        <v>41182</v>
      </c>
      <c r="B28" s="37" t="e">
        <f t="shared" si="1"/>
        <v>#REF!</v>
      </c>
      <c r="C28" s="29" t="e">
        <f>[1]CF!D20</f>
        <v>#REF!</v>
      </c>
      <c r="D28" s="29">
        <v>0</v>
      </c>
      <c r="E28" s="38"/>
      <c r="F28" s="39"/>
      <c r="G28" s="47"/>
      <c r="H28" s="24" t="e">
        <f>(XNPV($O$6,B28:$B$39,A28:$A$39)-B28)*((1+$O$6)^(1/365))</f>
        <v>#REF!</v>
      </c>
      <c r="I28" s="41" t="e">
        <f t="shared" si="3"/>
        <v>#REF!</v>
      </c>
      <c r="J28" s="29" t="e">
        <f t="shared" si="4"/>
        <v>#REF!</v>
      </c>
      <c r="K28" s="42" t="e">
        <f t="shared" si="5"/>
        <v>#REF!</v>
      </c>
      <c r="L28" s="33">
        <f t="shared" si="2"/>
        <v>0</v>
      </c>
      <c r="M28" s="28" t="e">
        <f t="shared" si="6"/>
        <v>#REF!</v>
      </c>
      <c r="N28" s="29" t="e">
        <f t="shared" ref="N28" si="14">I27*O$4*(A28-A27+1)/360</f>
        <v>#REF!</v>
      </c>
      <c r="O28" s="30" t="e">
        <f t="shared" si="0"/>
        <v>#REF!</v>
      </c>
      <c r="P28" s="43">
        <v>0</v>
      </c>
      <c r="Q28" s="44" t="e">
        <f>M28/H26</f>
        <v>#REF!</v>
      </c>
      <c r="R28" s="33"/>
      <c r="S28" s="2" t="e">
        <f>N27+N28-D28</f>
        <v>#REF!</v>
      </c>
      <c r="T28" s="7" t="e">
        <f>O28+O27</f>
        <v>#REF!</v>
      </c>
      <c r="U28" s="7" t="e">
        <f>M27+M28</f>
        <v>#REF!</v>
      </c>
      <c r="V28" s="45" t="e">
        <f>N28-#REF!</f>
        <v>#REF!</v>
      </c>
      <c r="W28" s="7" t="e">
        <f>J28-#REF!</f>
        <v>#REF!</v>
      </c>
      <c r="X28" s="7"/>
      <c r="Z28" s="7"/>
    </row>
    <row r="29" spans="1:26">
      <c r="A29" s="18">
        <v>41202</v>
      </c>
      <c r="B29" s="37" t="e">
        <f t="shared" si="1"/>
        <v>#REF!</v>
      </c>
      <c r="C29" s="29">
        <v>4000</v>
      </c>
      <c r="D29" s="29" t="e">
        <f>I27*O$4*(A29-A27)/360</f>
        <v>#REF!</v>
      </c>
      <c r="E29" s="38"/>
      <c r="F29" s="39"/>
      <c r="G29" s="47"/>
      <c r="H29" s="24" t="e">
        <f>(XNPV($O$6,B29:$B$39,A29:$A$39)-B29)*((1+$O$6)^(1/365))</f>
        <v>#REF!</v>
      </c>
      <c r="I29" s="41" t="e">
        <f t="shared" si="3"/>
        <v>#REF!</v>
      </c>
      <c r="J29" s="29" t="e">
        <f t="shared" si="4"/>
        <v>#REF!</v>
      </c>
      <c r="K29" s="42" t="e">
        <f t="shared" si="5"/>
        <v>#REF!</v>
      </c>
      <c r="L29" s="33">
        <f t="shared" si="2"/>
        <v>0</v>
      </c>
      <c r="M29" s="28" t="e">
        <f t="shared" si="6"/>
        <v>#REF!</v>
      </c>
      <c r="N29" s="29" t="e">
        <f t="shared" ref="N29" si="15">I28*O$4*(A29-A28-1)/360</f>
        <v>#REF!</v>
      </c>
      <c r="O29" s="30" t="e">
        <f t="shared" si="0"/>
        <v>#REF!</v>
      </c>
      <c r="P29" s="43">
        <v>0</v>
      </c>
      <c r="Q29" s="44"/>
      <c r="R29" s="33"/>
      <c r="V29" s="45" t="e">
        <f>N29-#REF!</f>
        <v>#REF!</v>
      </c>
      <c r="W29" s="7" t="e">
        <f>J29-#REF!</f>
        <v>#REF!</v>
      </c>
      <c r="X29" s="7" t="e">
        <f>ROUND((O28+O29),2)</f>
        <v>#REF!</v>
      </c>
      <c r="Y29" s="46" t="s">
        <v>28</v>
      </c>
      <c r="Z29" s="7"/>
    </row>
    <row r="30" spans="1:26">
      <c r="A30" s="18">
        <v>41213</v>
      </c>
      <c r="B30" s="37" t="e">
        <f t="shared" si="1"/>
        <v>#REF!</v>
      </c>
      <c r="C30" s="29" t="e">
        <f>[1]CF!D22</f>
        <v>#REF!</v>
      </c>
      <c r="D30" s="29">
        <v>0</v>
      </c>
      <c r="E30" s="38"/>
      <c r="F30" s="39"/>
      <c r="G30" s="47"/>
      <c r="H30" s="24" t="e">
        <f>(XNPV($O$6,B30:$B$39,A30:$A$39)-B30)*((1+$O$6)^(1/365))</f>
        <v>#REF!</v>
      </c>
      <c r="I30" s="41" t="e">
        <f t="shared" si="3"/>
        <v>#REF!</v>
      </c>
      <c r="J30" s="29" t="e">
        <f t="shared" si="4"/>
        <v>#REF!</v>
      </c>
      <c r="K30" s="42" t="e">
        <f t="shared" si="5"/>
        <v>#REF!</v>
      </c>
      <c r="L30" s="33">
        <f t="shared" si="2"/>
        <v>0</v>
      </c>
      <c r="M30" s="28" t="e">
        <f t="shared" si="6"/>
        <v>#REF!</v>
      </c>
      <c r="N30" s="29" t="e">
        <f t="shared" ref="N30" si="16">I29*O$4*(A30-A29+1)/360</f>
        <v>#REF!</v>
      </c>
      <c r="O30" s="30" t="e">
        <f t="shared" si="0"/>
        <v>#REF!</v>
      </c>
      <c r="P30" s="43">
        <v>0</v>
      </c>
      <c r="Q30" s="44" t="e">
        <f>M30/H28</f>
        <v>#REF!</v>
      </c>
      <c r="R30" s="33"/>
      <c r="S30" s="2" t="e">
        <f>N29+N30-D30</f>
        <v>#REF!</v>
      </c>
      <c r="T30" s="7" t="e">
        <f>O30+O29</f>
        <v>#REF!</v>
      </c>
      <c r="U30" s="7" t="e">
        <f>M29+M30</f>
        <v>#REF!</v>
      </c>
      <c r="V30" s="45" t="e">
        <f>N30-#REF!</f>
        <v>#REF!</v>
      </c>
      <c r="W30" s="7" t="e">
        <f>J30-#REF!</f>
        <v>#REF!</v>
      </c>
      <c r="X30" s="7"/>
      <c r="Z30" s="7"/>
    </row>
    <row r="31" spans="1:26">
      <c r="A31" s="18">
        <v>41233</v>
      </c>
      <c r="B31" s="37" t="e">
        <f t="shared" si="1"/>
        <v>#REF!</v>
      </c>
      <c r="C31" s="29">
        <v>4000</v>
      </c>
      <c r="D31" s="29" t="e">
        <f>I29*O$4*(A31-A29)/360</f>
        <v>#REF!</v>
      </c>
      <c r="E31" s="38"/>
      <c r="F31" s="39"/>
      <c r="G31" s="47"/>
      <c r="H31" s="24" t="e">
        <f>(XNPV($O$6,B31:$B$39,A31:$A$39)-B31)*((1+$O$6)^(1/365))</f>
        <v>#REF!</v>
      </c>
      <c r="I31" s="41" t="e">
        <f t="shared" si="3"/>
        <v>#REF!</v>
      </c>
      <c r="J31" s="29" t="e">
        <f t="shared" si="4"/>
        <v>#REF!</v>
      </c>
      <c r="K31" s="42" t="e">
        <f t="shared" si="5"/>
        <v>#REF!</v>
      </c>
      <c r="L31" s="33">
        <f t="shared" si="2"/>
        <v>0</v>
      </c>
      <c r="M31" s="28" t="e">
        <f t="shared" si="6"/>
        <v>#REF!</v>
      </c>
      <c r="N31" s="29" t="e">
        <f t="shared" ref="N31" si="17">I30*O$4*(A31-A30-1)/360</f>
        <v>#REF!</v>
      </c>
      <c r="O31" s="30" t="e">
        <f t="shared" si="0"/>
        <v>#REF!</v>
      </c>
      <c r="P31" s="43">
        <v>0</v>
      </c>
      <c r="Q31" s="44"/>
      <c r="R31" s="33"/>
      <c r="V31" s="45" t="e">
        <f>N31-#REF!</f>
        <v>#REF!</v>
      </c>
      <c r="W31" s="7" t="e">
        <f>J31-#REF!</f>
        <v>#REF!</v>
      </c>
      <c r="X31" s="7" t="e">
        <f>ROUND((O30+O31),2)</f>
        <v>#REF!</v>
      </c>
      <c r="Y31" s="46" t="s">
        <v>28</v>
      </c>
      <c r="Z31" s="7"/>
    </row>
    <row r="32" spans="1:26">
      <c r="A32" s="18">
        <v>41243</v>
      </c>
      <c r="B32" s="37" t="e">
        <f t="shared" si="1"/>
        <v>#REF!</v>
      </c>
      <c r="C32" s="29" t="e">
        <f>[1]CF!D24</f>
        <v>#REF!</v>
      </c>
      <c r="D32" s="29">
        <v>0</v>
      </c>
      <c r="E32" s="38"/>
      <c r="F32" s="39"/>
      <c r="G32" s="47"/>
      <c r="H32" s="24" t="e">
        <f>(XNPV($O$6,B32:$B$39,A32:$A$39)-B32)*((1+$O$6)^(1/365))</f>
        <v>#REF!</v>
      </c>
      <c r="I32" s="41" t="e">
        <f t="shared" si="3"/>
        <v>#REF!</v>
      </c>
      <c r="J32" s="29" t="e">
        <f t="shared" si="4"/>
        <v>#REF!</v>
      </c>
      <c r="K32" s="42" t="e">
        <f t="shared" si="5"/>
        <v>#REF!</v>
      </c>
      <c r="L32" s="33">
        <f t="shared" si="2"/>
        <v>0</v>
      </c>
      <c r="M32" s="28" t="e">
        <f t="shared" si="6"/>
        <v>#REF!</v>
      </c>
      <c r="N32" s="29" t="e">
        <f t="shared" ref="N32" si="18">I31*O$4*(A32-A31+1)/360</f>
        <v>#REF!</v>
      </c>
      <c r="O32" s="30" t="e">
        <f t="shared" si="0"/>
        <v>#REF!</v>
      </c>
      <c r="P32" s="43">
        <v>0</v>
      </c>
      <c r="Q32" s="44" t="e">
        <f>M32/H30</f>
        <v>#REF!</v>
      </c>
      <c r="R32" s="33"/>
      <c r="S32" s="2" t="e">
        <f>N31+N32-D32</f>
        <v>#REF!</v>
      </c>
      <c r="T32" s="7" t="e">
        <f>O32+O31</f>
        <v>#REF!</v>
      </c>
      <c r="U32" s="7" t="e">
        <f>M31+M32</f>
        <v>#REF!</v>
      </c>
      <c r="V32" s="45" t="e">
        <f>N32-#REF!</f>
        <v>#REF!</v>
      </c>
      <c r="W32" s="7" t="e">
        <f>J32-#REF!</f>
        <v>#REF!</v>
      </c>
      <c r="X32" s="7"/>
      <c r="Z32" s="7"/>
    </row>
    <row r="33" spans="1:26">
      <c r="A33" s="18">
        <v>41263</v>
      </c>
      <c r="B33" s="37" t="e">
        <f t="shared" si="1"/>
        <v>#REF!</v>
      </c>
      <c r="C33" s="29">
        <v>4000</v>
      </c>
      <c r="D33" s="29" t="e">
        <f>I31*O$4*(A33-A31)/360</f>
        <v>#REF!</v>
      </c>
      <c r="E33" s="38"/>
      <c r="F33" s="39"/>
      <c r="G33" s="47"/>
      <c r="H33" s="24" t="e">
        <f>(XNPV($O$6,B33:$B$39,A33:$A$39)-B33)*((1+$O$6)^(1/365))</f>
        <v>#REF!</v>
      </c>
      <c r="I33" s="41" t="e">
        <f t="shared" si="3"/>
        <v>#REF!</v>
      </c>
      <c r="J33" s="29" t="e">
        <f t="shared" si="4"/>
        <v>#REF!</v>
      </c>
      <c r="K33" s="42" t="e">
        <f t="shared" si="5"/>
        <v>#REF!</v>
      </c>
      <c r="L33" s="33">
        <f t="shared" si="2"/>
        <v>0</v>
      </c>
      <c r="M33" s="28" t="e">
        <f t="shared" si="6"/>
        <v>#REF!</v>
      </c>
      <c r="N33" s="29" t="e">
        <f t="shared" ref="N33" si="19">I32*O$4*(A33-A32-1)/360</f>
        <v>#REF!</v>
      </c>
      <c r="O33" s="30" t="e">
        <f t="shared" si="0"/>
        <v>#REF!</v>
      </c>
      <c r="P33" s="43">
        <v>0</v>
      </c>
      <c r="Q33" s="44"/>
      <c r="R33" s="33"/>
      <c r="V33" s="45" t="e">
        <f>N33-#REF!</f>
        <v>#REF!</v>
      </c>
      <c r="W33" s="7" t="e">
        <f>J33-#REF!</f>
        <v>#REF!</v>
      </c>
      <c r="X33" s="7" t="e">
        <f>ROUND((O32+O33),2)</f>
        <v>#REF!</v>
      </c>
      <c r="Y33" s="46" t="s">
        <v>28</v>
      </c>
      <c r="Z33" s="7"/>
    </row>
    <row r="34" spans="1:26">
      <c r="A34" s="18">
        <v>41274</v>
      </c>
      <c r="B34" s="37" t="e">
        <f t="shared" si="1"/>
        <v>#REF!</v>
      </c>
      <c r="C34" s="29" t="e">
        <f>[1]CF!D26</f>
        <v>#REF!</v>
      </c>
      <c r="D34" s="29">
        <v>0</v>
      </c>
      <c r="E34" s="38"/>
      <c r="F34" s="39"/>
      <c r="G34" s="47"/>
      <c r="H34" s="24" t="e">
        <f>(XNPV($O$6,B34:$B$39,A34:$A$39)-B34)*((1+$O$6)^(1/365))</f>
        <v>#REF!</v>
      </c>
      <c r="I34" s="41" t="e">
        <f t="shared" si="3"/>
        <v>#REF!</v>
      </c>
      <c r="J34" s="29" t="e">
        <f t="shared" si="4"/>
        <v>#REF!</v>
      </c>
      <c r="K34" s="42" t="e">
        <f t="shared" si="5"/>
        <v>#REF!</v>
      </c>
      <c r="L34" s="33">
        <f t="shared" si="2"/>
        <v>0</v>
      </c>
      <c r="M34" s="28" t="e">
        <f t="shared" si="6"/>
        <v>#REF!</v>
      </c>
      <c r="N34" s="29" t="e">
        <f t="shared" ref="N34" si="20">I33*O$4*(A34-A33+1)/360</f>
        <v>#REF!</v>
      </c>
      <c r="O34" s="30" t="e">
        <f t="shared" si="0"/>
        <v>#REF!</v>
      </c>
      <c r="P34" s="43">
        <v>0</v>
      </c>
      <c r="Q34" s="44" t="e">
        <f>M34/H32</f>
        <v>#REF!</v>
      </c>
      <c r="R34" s="33"/>
      <c r="S34" s="2" t="e">
        <f>N33+N34-D34</f>
        <v>#REF!</v>
      </c>
      <c r="T34" s="7" t="e">
        <f>O34+O33</f>
        <v>#REF!</v>
      </c>
      <c r="U34" s="7" t="e">
        <f>M33+M34</f>
        <v>#REF!</v>
      </c>
      <c r="V34" s="45" t="e">
        <f>N34-#REF!</f>
        <v>#REF!</v>
      </c>
      <c r="W34" s="7" t="e">
        <f>J34-#REF!</f>
        <v>#REF!</v>
      </c>
      <c r="X34" s="7"/>
      <c r="Z34" s="7"/>
    </row>
    <row r="35" spans="1:26">
      <c r="A35" s="18">
        <v>41294</v>
      </c>
      <c r="B35" s="37" t="e">
        <f t="shared" si="1"/>
        <v>#REF!</v>
      </c>
      <c r="C35" s="29">
        <v>4000</v>
      </c>
      <c r="D35" s="29" t="e">
        <f>I33*O$4*(A35-A33)/360</f>
        <v>#REF!</v>
      </c>
      <c r="E35" s="38"/>
      <c r="F35" s="39"/>
      <c r="G35" s="47"/>
      <c r="H35" s="24" t="e">
        <f>(XNPV($O$6,B35:$B$39,A35:$A$39)-B35)*((1+$O$6)^(1/365))</f>
        <v>#REF!</v>
      </c>
      <c r="I35" s="41" t="e">
        <f t="shared" si="3"/>
        <v>#REF!</v>
      </c>
      <c r="J35" s="29" t="e">
        <f t="shared" si="4"/>
        <v>#REF!</v>
      </c>
      <c r="K35" s="42" t="e">
        <f t="shared" si="5"/>
        <v>#REF!</v>
      </c>
      <c r="L35" s="33">
        <f t="shared" si="2"/>
        <v>0</v>
      </c>
      <c r="M35" s="28" t="e">
        <f t="shared" si="6"/>
        <v>#REF!</v>
      </c>
      <c r="N35" s="29" t="e">
        <f t="shared" ref="N35" si="21">I34*O$4*(A35-A34-1)/360</f>
        <v>#REF!</v>
      </c>
      <c r="O35" s="30" t="e">
        <f t="shared" si="0"/>
        <v>#REF!</v>
      </c>
      <c r="P35" s="43">
        <v>0</v>
      </c>
      <c r="Q35" s="44"/>
      <c r="R35" s="33"/>
      <c r="V35" s="45" t="e">
        <f>N35-#REF!</f>
        <v>#REF!</v>
      </c>
      <c r="W35" s="7" t="e">
        <f>J35-#REF!</f>
        <v>#REF!</v>
      </c>
      <c r="X35" s="7" t="e">
        <f>ROUND((O34+O35),2)</f>
        <v>#REF!</v>
      </c>
      <c r="Y35" s="46" t="s">
        <v>28</v>
      </c>
      <c r="Z35" s="7"/>
    </row>
    <row r="36" spans="1:26">
      <c r="A36" s="18">
        <v>41305</v>
      </c>
      <c r="B36" s="37" t="e">
        <f t="shared" si="1"/>
        <v>#REF!</v>
      </c>
      <c r="C36" s="29" t="e">
        <f>[1]CF!D28</f>
        <v>#REF!</v>
      </c>
      <c r="D36" s="29">
        <v>0</v>
      </c>
      <c r="E36" s="38"/>
      <c r="F36" s="39"/>
      <c r="G36" s="47"/>
      <c r="H36" s="24" t="e">
        <f>(XNPV($O$6,B36:$B$39,A36:$A$39)-B36)*((1+$O$6)^(1/365))</f>
        <v>#REF!</v>
      </c>
      <c r="I36" s="41" t="e">
        <f t="shared" si="3"/>
        <v>#REF!</v>
      </c>
      <c r="J36" s="29" t="e">
        <f t="shared" si="4"/>
        <v>#REF!</v>
      </c>
      <c r="K36" s="42" t="e">
        <f t="shared" si="5"/>
        <v>#REF!</v>
      </c>
      <c r="L36" s="33">
        <f t="shared" si="2"/>
        <v>0</v>
      </c>
      <c r="M36" s="28" t="e">
        <f t="shared" si="6"/>
        <v>#REF!</v>
      </c>
      <c r="N36" s="29" t="e">
        <f t="shared" ref="N36" si="22">I35*O$4*(A36-A35+1)/360</f>
        <v>#REF!</v>
      </c>
      <c r="O36" s="30" t="e">
        <f t="shared" si="0"/>
        <v>#REF!</v>
      </c>
      <c r="P36" s="43">
        <v>0</v>
      </c>
      <c r="Q36" s="44" t="e">
        <f>M36/H34</f>
        <v>#REF!</v>
      </c>
      <c r="R36" s="33"/>
      <c r="S36" s="2" t="e">
        <f>N35+N36-D36</f>
        <v>#REF!</v>
      </c>
      <c r="T36" s="7" t="e">
        <f>O36+O35</f>
        <v>#REF!</v>
      </c>
      <c r="U36" s="7" t="e">
        <f>M35+M36</f>
        <v>#REF!</v>
      </c>
      <c r="V36" s="45" t="e">
        <f>N36-#REF!</f>
        <v>#REF!</v>
      </c>
      <c r="W36" s="7" t="e">
        <f>J36-#REF!</f>
        <v>#REF!</v>
      </c>
      <c r="X36" s="7"/>
      <c r="Z36" s="7"/>
    </row>
    <row r="37" spans="1:26">
      <c r="A37" s="18">
        <v>41325</v>
      </c>
      <c r="B37" s="37" t="e">
        <f t="shared" si="1"/>
        <v>#REF!</v>
      </c>
      <c r="C37" s="29">
        <v>4000</v>
      </c>
      <c r="D37" s="29" t="e">
        <f>I35*O$4*(A37-A35)/360</f>
        <v>#REF!</v>
      </c>
      <c r="E37" s="38"/>
      <c r="F37" s="39"/>
      <c r="G37" s="47"/>
      <c r="H37" s="24" t="e">
        <f>(XNPV($O$6,B37:$B$39,A37:$A$39)-B37)*((1+$O$6)^(1/365))</f>
        <v>#REF!</v>
      </c>
      <c r="I37" s="41" t="e">
        <f t="shared" si="3"/>
        <v>#REF!</v>
      </c>
      <c r="J37" s="29" t="e">
        <f t="shared" si="4"/>
        <v>#REF!</v>
      </c>
      <c r="K37" s="42" t="e">
        <f t="shared" si="5"/>
        <v>#REF!</v>
      </c>
      <c r="L37" s="33">
        <f t="shared" si="2"/>
        <v>0</v>
      </c>
      <c r="M37" s="28" t="e">
        <f t="shared" si="6"/>
        <v>#REF!</v>
      </c>
      <c r="N37" s="29" t="e">
        <f t="shared" ref="N37" si="23">I36*O$4*(A37-A36-1)/360</f>
        <v>#REF!</v>
      </c>
      <c r="O37" s="30" t="e">
        <f t="shared" si="0"/>
        <v>#REF!</v>
      </c>
      <c r="P37" s="43">
        <v>0</v>
      </c>
      <c r="Q37" s="44"/>
      <c r="R37" s="33"/>
      <c r="V37" s="45" t="e">
        <f>N37-#REF!</f>
        <v>#REF!</v>
      </c>
      <c r="W37" s="7" t="e">
        <f>J37-#REF!</f>
        <v>#REF!</v>
      </c>
      <c r="X37" s="7" t="e">
        <f>ROUND((O36+O37),2)</f>
        <v>#REF!</v>
      </c>
      <c r="Y37" s="46" t="s">
        <v>28</v>
      </c>
      <c r="Z37" s="7"/>
    </row>
    <row r="38" spans="1:26">
      <c r="A38" s="18">
        <v>41333</v>
      </c>
      <c r="B38" s="37" t="e">
        <f t="shared" si="1"/>
        <v>#REF!</v>
      </c>
      <c r="C38" s="29" t="e">
        <f>[1]CF!D30</f>
        <v>#REF!</v>
      </c>
      <c r="D38" s="29">
        <v>0</v>
      </c>
      <c r="E38" s="38"/>
      <c r="F38" s="39"/>
      <c r="G38" s="47"/>
      <c r="H38" s="24" t="e">
        <f>(XNPV($O$6,B38:$B$39,A38:$A$39)-B38)*((1+$O$6)^(1/365))</f>
        <v>#REF!</v>
      </c>
      <c r="I38" s="41" t="e">
        <f t="shared" si="3"/>
        <v>#REF!</v>
      </c>
      <c r="J38" s="29" t="e">
        <f t="shared" si="4"/>
        <v>#REF!</v>
      </c>
      <c r="K38" s="42" t="e">
        <f t="shared" si="5"/>
        <v>#REF!</v>
      </c>
      <c r="L38" s="33">
        <f t="shared" si="2"/>
        <v>0</v>
      </c>
      <c r="M38" s="28" t="e">
        <f t="shared" si="6"/>
        <v>#REF!</v>
      </c>
      <c r="N38" s="29" t="e">
        <f t="shared" ref="N38" si="24">I37*O$4*(A38-A37+1)/360</f>
        <v>#REF!</v>
      </c>
      <c r="O38" s="30" t="e">
        <f t="shared" si="0"/>
        <v>#REF!</v>
      </c>
      <c r="P38" s="43">
        <v>0</v>
      </c>
      <c r="Q38" s="44" t="e">
        <f>M38/H36</f>
        <v>#REF!</v>
      </c>
      <c r="R38" s="33"/>
      <c r="S38" s="2" t="e">
        <f>N37+N38-D38</f>
        <v>#REF!</v>
      </c>
      <c r="T38" s="7" t="e">
        <f>O38+O37</f>
        <v>#REF!</v>
      </c>
      <c r="U38" s="7" t="e">
        <f>M37+M38</f>
        <v>#REF!</v>
      </c>
      <c r="V38" s="45" t="e">
        <f>N38-#REF!</f>
        <v>#REF!</v>
      </c>
      <c r="W38" s="7" t="e">
        <f>J38-#REF!</f>
        <v>#REF!</v>
      </c>
      <c r="X38" s="7"/>
      <c r="Z38" s="7"/>
    </row>
    <row r="39" spans="1:26" ht="15.75" thickBot="1">
      <c r="A39" s="18">
        <v>41350</v>
      </c>
      <c r="B39" s="37" t="e">
        <f t="shared" si="1"/>
        <v>#REF!</v>
      </c>
      <c r="C39" s="29">
        <v>4000</v>
      </c>
      <c r="D39" s="29" t="e">
        <f>I37*O$4*(A39-A37)/360</f>
        <v>#REF!</v>
      </c>
      <c r="E39" s="38"/>
      <c r="F39" s="39"/>
      <c r="G39" s="47"/>
      <c r="H39" s="24" t="e">
        <f>(XNPV($O$6,B39:$B$39,A39:$A$39)-B39)*((1+$O$6)^(1/365))</f>
        <v>#REF!</v>
      </c>
      <c r="I39" s="41" t="e">
        <f t="shared" si="3"/>
        <v>#REF!</v>
      </c>
      <c r="J39" s="29" t="e">
        <f t="shared" si="4"/>
        <v>#REF!</v>
      </c>
      <c r="K39" s="42" t="e">
        <f t="shared" si="5"/>
        <v>#REF!</v>
      </c>
      <c r="L39" s="33">
        <f t="shared" si="2"/>
        <v>0</v>
      </c>
      <c r="M39" s="28" t="e">
        <f t="shared" si="6"/>
        <v>#REF!</v>
      </c>
      <c r="N39" s="29" t="e">
        <f t="shared" ref="N39" si="25">I38*O$4*(A39-A38-1)/360</f>
        <v>#REF!</v>
      </c>
      <c r="O39" s="30" t="e">
        <f t="shared" si="0"/>
        <v>#REF!</v>
      </c>
      <c r="P39" s="43">
        <v>0</v>
      </c>
      <c r="Q39" s="44"/>
      <c r="R39" s="33"/>
      <c r="V39" s="45" t="e">
        <f>N39-#REF!</f>
        <v>#REF!</v>
      </c>
      <c r="W39" s="7" t="e">
        <f>J39-#REF!</f>
        <v>#REF!</v>
      </c>
      <c r="X39" s="7" t="e">
        <f>ROUND((O38+O39),2)</f>
        <v>#REF!</v>
      </c>
      <c r="Y39" s="46" t="s">
        <v>28</v>
      </c>
      <c r="Z39" s="7"/>
    </row>
    <row r="40" spans="1:26" ht="16.5" thickTop="1" thickBot="1">
      <c r="A40" s="48" t="s">
        <v>29</v>
      </c>
      <c r="B40" s="49" t="e">
        <f>SUM(B15:B39)</f>
        <v>#REF!</v>
      </c>
      <c r="C40" s="49" t="e">
        <f>SUM(C15:C39)</f>
        <v>#REF!</v>
      </c>
      <c r="D40" s="49" t="e">
        <f>SUM(D15:D39)</f>
        <v>#REF!</v>
      </c>
      <c r="E40" s="50" t="s">
        <v>30</v>
      </c>
      <c r="F40" s="51" t="s">
        <v>30</v>
      </c>
      <c r="G40" s="52"/>
      <c r="H40" s="53" t="s">
        <v>30</v>
      </c>
      <c r="I40" s="54" t="s">
        <v>30</v>
      </c>
      <c r="J40" s="55" t="s">
        <v>30</v>
      </c>
      <c r="K40" s="56" t="s">
        <v>30</v>
      </c>
      <c r="L40" s="54" t="s">
        <v>30</v>
      </c>
      <c r="M40" s="57" t="e">
        <f>SUM(M13:M39)</f>
        <v>#REF!</v>
      </c>
      <c r="N40" s="58" t="e">
        <f>SUM(N13:N39)</f>
        <v>#REF!</v>
      </c>
      <c r="O40" s="59" t="e">
        <f>SUM(O13:O39)</f>
        <v>#REF!</v>
      </c>
      <c r="P40" s="60">
        <f>SUM(P16:P39)</f>
        <v>0</v>
      </c>
      <c r="Q40" s="61" t="s">
        <v>24</v>
      </c>
      <c r="R40" s="33"/>
      <c r="S40" s="62" t="e">
        <f>SUM(S13:S39)</f>
        <v>#REF!</v>
      </c>
      <c r="X40" s="7"/>
    </row>
    <row r="41" spans="1:26">
      <c r="C41" s="7"/>
      <c r="D41" s="7"/>
      <c r="N41" s="63"/>
      <c r="O41" s="64"/>
      <c r="P41" s="65"/>
    </row>
    <row r="42" spans="1:26">
      <c r="N42" s="66"/>
      <c r="O42" s="66"/>
      <c r="P42" s="65"/>
    </row>
    <row r="43" spans="1:26">
      <c r="N43" s="66"/>
      <c r="O43" s="66"/>
      <c r="P43" s="65"/>
    </row>
    <row r="44" spans="1:26" ht="15.75" thickBot="1">
      <c r="N44" s="65"/>
      <c r="O44" s="65"/>
      <c r="P44" s="65"/>
    </row>
    <row r="45" spans="1:26" ht="15.75" thickBot="1">
      <c r="E45" s="67"/>
      <c r="G45" s="68" t="e">
        <f>#REF!-#REF!</f>
        <v>#REF!</v>
      </c>
      <c r="N45" s="65"/>
      <c r="O45" s="65"/>
      <c r="P45" s="65"/>
    </row>
    <row r="46" spans="1:26">
      <c r="G46" s="45" t="e">
        <f>ROUND(NPV(#REF!,#REF!),0)-ROUND(NPV(#REF!,#REF!),0)</f>
        <v>#REF!</v>
      </c>
    </row>
    <row r="47" spans="1:26">
      <c r="G47" s="45" t="e">
        <f>ROUND(NPV(#REF!,#REF!)-NPV(#REF!,#REF!),0)</f>
        <v>#REF!</v>
      </c>
    </row>
    <row r="48" spans="1:26">
      <c r="G48" s="45"/>
    </row>
  </sheetData>
  <mergeCells count="23">
    <mergeCell ref="Q9:Q12"/>
    <mergeCell ref="X9:Y12"/>
    <mergeCell ref="G11:G12"/>
    <mergeCell ref="H11:H12"/>
    <mergeCell ref="N11:N12"/>
    <mergeCell ref="O11:O12"/>
    <mergeCell ref="P11:P12"/>
    <mergeCell ref="N2:P2"/>
    <mergeCell ref="A9:A12"/>
    <mergeCell ref="B9:E10"/>
    <mergeCell ref="F9:F12"/>
    <mergeCell ref="H9:L10"/>
    <mergeCell ref="M9:O10"/>
    <mergeCell ref="P9:P10"/>
    <mergeCell ref="L11:L12"/>
    <mergeCell ref="I11:I12"/>
    <mergeCell ref="J11:J12"/>
    <mergeCell ref="K11:K12"/>
    <mergeCell ref="B2:D2"/>
    <mergeCell ref="H2:L2"/>
    <mergeCell ref="C11:C12"/>
    <mergeCell ref="D11:D12"/>
    <mergeCell ref="E11:E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3</vt:lpstr>
      <vt:lpstr>Example 1</vt:lpstr>
      <vt:lpstr>Example 2 prepaym</vt:lpstr>
      <vt:lpstr>Example 3 modif check</vt:lpstr>
      <vt:lpstr>Example 3 modif old</vt:lpstr>
      <vt:lpstr>Example 4 modif check</vt:lpstr>
      <vt:lpstr>Example 4 modif new</vt:lpstr>
      <vt:lpstr>Example 5 non market</vt:lpstr>
      <vt:lpstr>4</vt:lpstr>
      <vt:lpstr>5</vt:lpstr>
      <vt:lpstr>6</vt:lpstr>
      <vt:lpstr>7_1 initial</vt:lpstr>
      <vt:lpstr>9_1 irc</vt:lpstr>
      <vt:lpstr>10 modif</vt:lpstr>
      <vt:lpstr>8_1 imp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bastion</dc:creator>
  <cp:lastModifiedBy>znachkov</cp:lastModifiedBy>
  <dcterms:created xsi:type="dcterms:W3CDTF">2014-09-04T15:32:43Z</dcterms:created>
  <dcterms:modified xsi:type="dcterms:W3CDTF">2019-07-11T10:55:20Z</dcterms:modified>
</cp:coreProperties>
</file>